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_Here" sheetId="1" r:id="rId1"/>
    <sheet name="Dashboard" sheetId="2" r:id="rId2"/>
    <sheet name="Setup" sheetId="3" r:id="rId3"/>
    <sheet name="Checklist" sheetId="4" r:id="rId4"/>
    <sheet name="Audit_Log" sheetId="5" r:id="rId5"/>
    <sheet name="Findings" sheetId="6" r:id="rId6"/>
  </sheets>
  <definedNames>
    <definedName name="_xlnm._FilterDatabase" localSheetId="4" hidden="1">Audit_Log!$A$5:$Z$405</definedName>
    <definedName name="_xlnm._FilterDatabase" localSheetId="5" hidden="1">Findings!$A$5:$Q$305</definedName>
    <definedName name="_xlnm.Print_Area" localSheetId="1">Dashboard!$A$1:$L$58</definedName>
  </definedNames>
  <calcPr calcId="124519" fullCalcOnLoad="1"/>
</workbook>
</file>

<file path=xl/sharedStrings.xml><?xml version="1.0" encoding="utf-8"?>
<sst xmlns="http://schemas.openxmlformats.org/spreadsheetml/2006/main" count="4477" uniqueCount="279">
  <si>
    <t>SETUP</t>
  </si>
  <si>
    <t>Yellow cells are yours. Everything else calculates. Set the layers, areas and targets once.</t>
  </si>
  <si>
    <t>PROGRAM</t>
  </si>
  <si>
    <t>Company / plant</t>
  </si>
  <si>
    <t>Example Components Plant</t>
  </si>
  <si>
    <t>Report date</t>
  </si>
  <si>
    <t>Program year start</t>
  </si>
  <si>
    <t>Target compliance score</t>
  </si>
  <si>
    <t>Months elapsed (auto)</t>
  </si>
  <si>
    <t>Areas in use (auto)</t>
  </si>
  <si>
    <t>Months = full months since the year start + day / 31</t>
  </si>
  <si>
    <t>LAYER</t>
  </si>
  <si>
    <t>AUDIT LAYERS</t>
  </si>
  <si>
    <t>Audits / area / month</t>
  </si>
  <si>
    <t>L1</t>
  </si>
  <si>
    <t>Team leader / line leader</t>
  </si>
  <si>
    <t>L2</t>
  </si>
  <si>
    <t>Supervisor / shift manager</t>
  </si>
  <si>
    <t>L3</t>
  </si>
  <si>
    <t>Department manager</t>
  </si>
  <si>
    <t>Column C = required audits per area per month (0.5 = one audit every two months).</t>
  </si>
  <si>
    <t>AREAS / STATIONS</t>
  </si>
  <si>
    <t>Press Line 1</t>
  </si>
  <si>
    <t>Brazing Cell A</t>
  </si>
  <si>
    <t>Assembly Line 1</t>
  </si>
  <si>
    <t>Paint Shop</t>
  </si>
  <si>
    <t>Final Test</t>
  </si>
  <si>
    <t>Packaging</t>
  </si>
  <si>
    <t>AUDITORS</t>
  </si>
  <si>
    <t>No.</t>
  </si>
  <si>
    <t>Name</t>
  </si>
  <si>
    <t>Layer</t>
  </si>
  <si>
    <t>J. Novak</t>
  </si>
  <si>
    <t>M. Neumann</t>
  </si>
  <si>
    <t>A. Berger</t>
  </si>
  <si>
    <t>I. Jung</t>
  </si>
  <si>
    <t>C. Dvorak</t>
  </si>
  <si>
    <t>K. Lang</t>
  </si>
  <si>
    <t>R. Quint</t>
  </si>
  <si>
    <t>LISTS</t>
  </si>
  <si>
    <t>Shift</t>
  </si>
  <si>
    <t>Finding status</t>
  </si>
  <si>
    <t>Answer</t>
  </si>
  <si>
    <t>1st shift</t>
  </si>
  <si>
    <t>2nd shift</t>
  </si>
  <si>
    <t>3rd shift</t>
  </si>
  <si>
    <t>Open</t>
  </si>
  <si>
    <t>In progress</t>
  </si>
  <si>
    <t>Closed</t>
  </si>
  <si>
    <t>OK</t>
  </si>
  <si>
    <t>NOK</t>
  </si>
  <si>
    <t>N/A</t>
  </si>
  <si>
    <t>CHECKLIST</t>
  </si>
  <si>
    <t>15 ready questions. Edit the text freely: the answer columns in the Audit Log follow the Q-IDs.</t>
  </si>
  <si>
    <t>Answer YES = compliant. Mark KEY for the questions that must never fail.</t>
  </si>
  <si>
    <t>Q-ID</t>
  </si>
  <si>
    <t>Category</t>
  </si>
  <si>
    <t>Audit question (YES = compliant)</t>
  </si>
  <si>
    <t>What to look for</t>
  </si>
  <si>
    <t>KEY</t>
  </si>
  <si>
    <t>NOK count</t>
  </si>
  <si>
    <t>Q01</t>
  </si>
  <si>
    <t>Work instructions &amp; standard work</t>
  </si>
  <si>
    <t>Is the current revision of the work instruction posted at the station?</t>
  </si>
  <si>
    <t>Compare the revision at the station with the master list</t>
  </si>
  <si>
    <t>Q02</t>
  </si>
  <si>
    <t>Does the operator perform the steps in the sequence defined in the work instruction?</t>
  </si>
  <si>
    <t>Watch one complete cycle</t>
  </si>
  <si>
    <t>Q03</t>
  </si>
  <si>
    <t>Is the reaction plan visible, and does the operator know what to do with a nonconforming part?</t>
  </si>
  <si>
    <t>Ask: what do you do if this part is NOK?</t>
  </si>
  <si>
    <t>Q04</t>
  </si>
  <si>
    <t>Material &amp; identification</t>
  </si>
  <si>
    <t>Does the batch label of the material match the production order?</t>
  </si>
  <si>
    <t>Compare the label with the order</t>
  </si>
  <si>
    <t>Q05</t>
  </si>
  <si>
    <t>Process parameters &amp; settings</t>
  </si>
  <si>
    <t>Are the process parameters (force, temperature, speed) set as defined on the setup sheet?</t>
  </si>
  <si>
    <t>Compare the display with the sheet</t>
  </si>
  <si>
    <t>Q06</t>
  </si>
  <si>
    <t>Quality checks &amp; gauges</t>
  </si>
  <si>
    <t>Are in-process checks done at the defined frequency and recorded?</t>
  </si>
  <si>
    <t>Compare records with the Control Plan frequency</t>
  </si>
  <si>
    <t>Q07</t>
  </si>
  <si>
    <t>Are measuring and test devices at the station within their calibration date?</t>
  </si>
  <si>
    <t>Check the calibration label</t>
  </si>
  <si>
    <t>Q08</t>
  </si>
  <si>
    <t>Error-proofing &amp; containment</t>
  </si>
  <si>
    <t>Is every error-proofing device at this station active (not bypassed or disabled)?</t>
  </si>
  <si>
    <t>Check the poka-yoke list against the station</t>
  </si>
  <si>
    <t>Q09</t>
  </si>
  <si>
    <t>Is the missing-part or wrong-part detection working?</t>
  </si>
  <si>
    <t>Test with a known bad part or master sample</t>
  </si>
  <si>
    <t>Q10</t>
  </si>
  <si>
    <t>Control Plan &amp; PFMEA adherence</t>
  </si>
  <si>
    <t>Are all special characteristics (CC/SC) at this station checked as specified?</t>
  </si>
  <si>
    <t>Check the CC/SC list against the checks</t>
  </si>
  <si>
    <t>Q11</t>
  </si>
  <si>
    <t>Tooling &amp; equipment</t>
  </si>
  <si>
    <t>Are tool wear and counters within the maintenance limit?</t>
  </si>
  <si>
    <t>Compare the counter with the limit</t>
  </si>
  <si>
    <t>Q12</t>
  </si>
  <si>
    <t>Is the preventive-maintenance record complete for the last period?</t>
  </si>
  <si>
    <t>Review the record</t>
  </si>
  <si>
    <t>Q13</t>
  </si>
  <si>
    <t>Safety &amp; workplace</t>
  </si>
  <si>
    <t>Are safety devices tested as scheduled and the workplace clean and 5S compliant?</t>
  </si>
  <si>
    <t>Check test records and look around</t>
  </si>
  <si>
    <t>Q14</t>
  </si>
  <si>
    <t>Nonconforming product</t>
  </si>
  <si>
    <t>Is nonconforming product segregated immediately and tagged with reason, date and name?</t>
  </si>
  <si>
    <t>Check the red containers</t>
  </si>
  <si>
    <t>Q15</t>
  </si>
  <si>
    <t>Traceability &amp; records</t>
  </si>
  <si>
    <t>Can the part just produced be traced back to its material batch and shift records?</t>
  </si>
  <si>
    <t>Pick one part and trace it</t>
  </si>
  <si>
    <t>AUDIT LOG</t>
  </si>
  <si>
    <t>One row per audit. Pick the date, area, layer and auditor, then answer OK / NOK / N/A per question (Q-IDs from the Checklist). The score and result calculate.</t>
  </si>
  <si>
    <t>400 rows ready. Yellow = you type or pick. A NOK answer needs a finding in the Findings tab: the Check column tells you when it is missing.</t>
  </si>
  <si>
    <t>Audit ID</t>
  </si>
  <si>
    <t>Date</t>
  </si>
  <si>
    <t>Area</t>
  </si>
  <si>
    <t>Auditor</t>
  </si>
  <si>
    <t>Score</t>
  </si>
  <si>
    <t>Result</t>
  </si>
  <si>
    <t>Check</t>
  </si>
  <si>
    <t>FINDINGS &amp; ACTIONS</t>
  </si>
  <si>
    <t>Log every NOK answer: pick the Audit ID and the Q-ID, then owner, due date and status. Overdue and due-soon items are flagged automatically.</t>
  </si>
  <si>
    <t>300 rows ready. Yellow = you type or pick. White = calculated from the Audit Log and the report date in Setup.</t>
  </si>
  <si>
    <t>Finding ID</t>
  </si>
  <si>
    <t>Audit date</t>
  </si>
  <si>
    <t>Question (auto)</t>
  </si>
  <si>
    <t>Containment / immediate action</t>
  </si>
  <si>
    <t>Root cause</t>
  </si>
  <si>
    <t>Corrective action</t>
  </si>
  <si>
    <t>Owner</t>
  </si>
  <si>
    <t>Due date</t>
  </si>
  <si>
    <t>Status</t>
  </si>
  <si>
    <t>Closed date</t>
  </si>
  <si>
    <t>Days overdue</t>
  </si>
  <si>
    <t>Flag</t>
  </si>
  <si>
    <t>A-1003</t>
  </si>
  <si>
    <t>Corrected on the spot, shift briefed.</t>
  </si>
  <si>
    <t>Device bypassed after a fault and not restored</t>
  </si>
  <si>
    <t>Restore the device and verify with the master sample</t>
  </si>
  <si>
    <t>Suspect parts checked and held, supervisor informed.</t>
  </si>
  <si>
    <t>Operator not briefed after the instruction change</t>
  </si>
  <si>
    <t>Brief all shifts and record the sign-off</t>
  </si>
  <si>
    <t>A-1004</t>
  </si>
  <si>
    <t>Corrected at the station during the audit; operator coached.</t>
  </si>
  <si>
    <t>Brief the operator and record the sign-off</t>
  </si>
  <si>
    <t>A-1009</t>
  </si>
  <si>
    <t>Check routine not part of the start-up checklist</t>
  </si>
  <si>
    <t>Add verification to the start-up checklist</t>
  </si>
  <si>
    <t>A-1010</t>
  </si>
  <si>
    <t>Wear limit not defined on the tool</t>
  </si>
  <si>
    <t>Define wear limits and add them to the check list</t>
  </si>
  <si>
    <t>A-1013</t>
  </si>
  <si>
    <t>Calibration due list not reviewed weekly</t>
  </si>
  <si>
    <t>Review the calibration list weekly at the shift meeting</t>
  </si>
  <si>
    <t>A-1017</t>
  </si>
  <si>
    <t>A-1020</t>
  </si>
  <si>
    <t>A-1023</t>
  </si>
  <si>
    <t>E. Faber</t>
  </si>
  <si>
    <t>A-1027</t>
  </si>
  <si>
    <t>A-1031</t>
  </si>
  <si>
    <t>A-1034</t>
  </si>
  <si>
    <t>A-1039</t>
  </si>
  <si>
    <t>A-1042</t>
  </si>
  <si>
    <t>A-1043</t>
  </si>
  <si>
    <t>A-1044</t>
  </si>
  <si>
    <t>A-1049</t>
  </si>
  <si>
    <t>A-1058</t>
  </si>
  <si>
    <t>A-1061</t>
  </si>
  <si>
    <t>A-1062</t>
  </si>
  <si>
    <t>A-1069</t>
  </si>
  <si>
    <t>A-1073</t>
  </si>
  <si>
    <t>A-1074</t>
  </si>
  <si>
    <t>A-1077</t>
  </si>
  <si>
    <t>A-1080</t>
  </si>
  <si>
    <t>A-1082</t>
  </si>
  <si>
    <t>A-1083</t>
  </si>
  <si>
    <t>A-1085</t>
  </si>
  <si>
    <t>A-1086</t>
  </si>
  <si>
    <t>A-1088</t>
  </si>
  <si>
    <t>A-1089</t>
  </si>
  <si>
    <t>A-1090</t>
  </si>
  <si>
    <t>A-1092</t>
  </si>
  <si>
    <t>A-1093</t>
  </si>
  <si>
    <t>A-1094</t>
  </si>
  <si>
    <t>A-1095</t>
  </si>
  <si>
    <t>A-1097</t>
  </si>
  <si>
    <t>A-1098</t>
  </si>
  <si>
    <t>A-1102</t>
  </si>
  <si>
    <t>A-1103</t>
  </si>
  <si>
    <t>A-1108</t>
  </si>
  <si>
    <t>A-1109</t>
  </si>
  <si>
    <t>A-1111</t>
  </si>
  <si>
    <t>A-1115</t>
  </si>
  <si>
    <t>A-1116</t>
  </si>
  <si>
    <t>A-1117</t>
  </si>
  <si>
    <t>A-1118</t>
  </si>
  <si>
    <t>A-1119</t>
  </si>
  <si>
    <t>A-1120</t>
  </si>
  <si>
    <t>A-1122</t>
  </si>
  <si>
    <t>A-1123</t>
  </si>
  <si>
    <t>A-1124</t>
  </si>
  <si>
    <t>A-1126</t>
  </si>
  <si>
    <t>A-1128</t>
  </si>
  <si>
    <t>A-1129</t>
  </si>
  <si>
    <t>A-1130</t>
  </si>
  <si>
    <t>A-1135</t>
  </si>
  <si>
    <t>A-1136</t>
  </si>
  <si>
    <t>A-1140</t>
  </si>
  <si>
    <t>A-1141</t>
  </si>
  <si>
    <t>A-1146</t>
  </si>
  <si>
    <t>A-1150</t>
  </si>
  <si>
    <t>A-1151</t>
  </si>
  <si>
    <t>A-1156</t>
  </si>
  <si>
    <t>A-1159</t>
  </si>
  <si>
    <t>A-1160</t>
  </si>
  <si>
    <t>A-1162</t>
  </si>
  <si>
    <t>A-1163</t>
  </si>
  <si>
    <t>A-1165</t>
  </si>
  <si>
    <t>A-1167</t>
  </si>
  <si>
    <t>A-1168</t>
  </si>
  <si>
    <t>A-1170</t>
  </si>
  <si>
    <t>A-1173</t>
  </si>
  <si>
    <t>A-1178</t>
  </si>
  <si>
    <t>A-1184</t>
  </si>
  <si>
    <t>A-1189</t>
  </si>
  <si>
    <t>LAYERED PROCESS AUDIT DASHBOARD  (LITE)</t>
  </si>
  <si>
    <t>REPORT DATE</t>
  </si>
  <si>
    <t>TARGET SCORE</t>
  </si>
  <si>
    <t>AUDIT COMPLETION</t>
  </si>
  <si>
    <t>COMPLIANCE SCORE</t>
  </si>
  <si>
    <t>NOK ANSWERS</t>
  </si>
  <si>
    <t>OPEN FINDINGS</t>
  </si>
  <si>
    <t>OVERDUE FINDINGS</t>
  </si>
  <si>
    <t>AUDITS BELOW TARGET</t>
  </si>
  <si>
    <t>AUDITS BY LAYER  (done vs required, pro-rated to the report date)</t>
  </si>
  <si>
    <t>Layer name</t>
  </si>
  <si>
    <t>Done</t>
  </si>
  <si>
    <t>Required</t>
  </si>
  <si>
    <t>Completion</t>
  </si>
  <si>
    <t>All layers</t>
  </si>
  <si>
    <t>COMPLIANCE BY AREA</t>
  </si>
  <si>
    <t>Area / station</t>
  </si>
  <si>
    <t>Audits</t>
  </si>
  <si>
    <t>Target</t>
  </si>
  <si>
    <t>Open findings</t>
  </si>
  <si>
    <t>All areas</t>
  </si>
  <si>
    <t>LPA AUDIT TEMPLATE  (LITE, FREE)</t>
  </si>
  <si>
    <t>Layered process audit in Excel: checklist, audit log, findings tracker and a live dashboard. No macros.</t>
  </si>
  <si>
    <t>HOW TO USE IT</t>
  </si>
  <si>
    <t>1. Setup</t>
  </si>
  <si>
    <t>Enter your plant, the report date, your areas, auditors and the audits required per layer.</t>
  </si>
  <si>
    <t>2. Checklist</t>
  </si>
  <si>
    <t>Review the 15 questions and edit them to fit your process. Mark the KEY questions.</t>
  </si>
  <si>
    <t>3. Audit Log</t>
  </si>
  <si>
    <t>One row per audit: date, area, layer, auditor, then OK / NOK / N/A for each question.</t>
  </si>
  <si>
    <t>4. Findings</t>
  </si>
  <si>
    <t>Log every NOK with an owner and a due date. Overdue items turn red by themselves.</t>
  </si>
  <si>
    <t>5. Dashboard</t>
  </si>
  <si>
    <t>Read the status banner, the six tiles, the layer table and the three charts.</t>
  </si>
  <si>
    <t>SAMPLE DATA</t>
  </si>
  <si>
    <t>The file opens with an example plant so you can see every tab working. To start your own program, clear the yellow cells in Audit Log and Findings, then fill the Setup tab.</t>
  </si>
  <si>
    <t>WHAT LITE INCLUDES</t>
  </si>
  <si>
    <t>+</t>
  </si>
  <si>
    <t>3 audit layers (L1 to L3), up to 6 areas and 8 auditors</t>
  </si>
  <si>
    <t>15 ready questions with "what to look for" and KEY flags</t>
  </si>
  <si>
    <t>400 audit rows with automatic score and PASS / FAIL, plus a check for NOK answers without a finding</t>
  </si>
  <si>
    <t>300 finding rows with owner, due date, overdue and due-soon flags</t>
  </si>
  <si>
    <t>Dashboard: status banner, 6 tiles, layer table, area table, 3 charts</t>
  </si>
  <si>
    <t>NEED THE FULL SYSTEM?</t>
  </si>
  <si>
    <t>LPA System (FULL): 5 audit layers with senior-management tracking, coverage matrix, repeat-finding escalation, special focus audits after complaints, month filter, 12-month trends and heatmap, 120 questions in 12 categories, 10 checklist sets, 3,000 audit rows and 1,500 findings.</t>
  </si>
  <si>
    <t>Get the LPA System (FULL) on Etsy</t>
  </si>
  <si>
    <t>GOOD TO KNOW</t>
  </si>
  <si>
    <t>Independent template following the principles of the AIAG CQI-8 Layered Process Audit guideline. It is not an official AIAG document: always check your customer-specific requirements. Requires Microsoft Excel 2010 or newer. Free to use in your company. Made by QM Bench, qmbench.com.</t>
  </si>
</sst>
</file>

<file path=xl/styles.xml><?xml version="1.0" encoding="utf-8"?>
<styleSheet xmlns="http://schemas.openxmlformats.org/spreadsheetml/2006/main">
  <numFmts count="4">
    <numFmt numFmtId="164" formatCode="yyyy-mm-dd"/>
    <numFmt numFmtId="165" formatCode="0%"/>
    <numFmt numFmtId="166" formatCode="0.0%"/>
    <numFmt numFmtId="167" formatCode="0.00"/>
  </numFmts>
  <fonts count="14">
    <font>
      <sz val="11"/>
      <color theme="1"/>
      <name val="Calibri"/>
      <family val="2"/>
      <scheme val="minor"/>
    </font>
    <font>
      <b/>
      <sz val="18"/>
      <color rgb="FFFFFFFF"/>
      <name val="Arial"/>
      <family val="2"/>
    </font>
    <font>
      <i/>
      <sz val="10"/>
      <color rgb="FFC9D3E8"/>
      <name val="Arial"/>
      <family val="2"/>
    </font>
    <font>
      <b/>
      <sz val="10"/>
      <color rgb="FF14213D"/>
      <name val="Arial"/>
      <family val="2"/>
    </font>
    <font>
      <b/>
      <sz val="10"/>
      <color theme="1"/>
      <name val="Arial"/>
      <family val="2"/>
    </font>
    <font>
      <sz val="10"/>
      <color theme="1"/>
      <name val="Arial"/>
      <family val="2"/>
    </font>
    <font>
      <b/>
      <u/>
      <sz val="10"/>
      <color rgb="FF0B57D0"/>
      <name val="Arial"/>
      <family val="2"/>
    </font>
    <font>
      <b/>
      <sz val="10"/>
      <color rgb="FFFFFFFF"/>
      <name val="Arial"/>
      <family val="2"/>
    </font>
    <font>
      <b/>
      <sz val="12"/>
      <color rgb="FFFFFFFF"/>
      <name val="Arial"/>
      <family val="2"/>
    </font>
    <font>
      <b/>
      <sz val="9"/>
      <color rgb="FF4A5568"/>
      <name val="Arial"/>
      <family val="2"/>
    </font>
    <font>
      <b/>
      <sz val="24"/>
      <color rgb="FF14213D"/>
      <name val="Arial"/>
      <family val="2"/>
    </font>
    <font>
      <sz val="9"/>
      <color rgb="FF6B7686"/>
      <name val="Arial"/>
      <family val="2"/>
    </font>
    <font>
      <sz val="10"/>
      <color rgb="FF1C3F94"/>
      <name val="Arial"/>
      <family val="2"/>
    </font>
    <font>
      <i/>
      <sz val="9"/>
      <color rgb="FF6B7686"/>
      <name val="Arial"/>
      <family val="2"/>
    </font>
  </fonts>
  <fills count="9">
    <fill>
      <patternFill patternType="none"/>
    </fill>
    <fill>
      <patternFill patternType="gray125"/>
    </fill>
    <fill>
      <patternFill patternType="solid">
        <fgColor rgb="FF14213D"/>
        <bgColor indexed="64"/>
      </patternFill>
    </fill>
    <fill>
      <patternFill patternType="solid">
        <fgColor rgb="FF1F3260"/>
        <bgColor indexed="64"/>
      </patternFill>
    </fill>
    <fill>
      <patternFill patternType="solid">
        <fgColor rgb="FFFCA311"/>
        <bgColor indexed="64"/>
      </patternFill>
    </fill>
    <fill>
      <patternFill patternType="solid">
        <fgColor rgb="FF7A8699"/>
        <bgColor indexed="64"/>
      </patternFill>
    </fill>
    <fill>
      <patternFill patternType="solid">
        <fgColor rgb="FFF1F4F9"/>
        <bgColor indexed="64"/>
      </patternFill>
    </fill>
    <fill>
      <patternFill patternType="solid">
        <fgColor rgb="FFEEF1F6"/>
        <bgColor indexed="64"/>
      </patternFill>
    </fill>
    <fill>
      <patternFill patternType="solid">
        <fgColor rgb="FFFFF4CC"/>
        <bgColor indexed="64"/>
      </patternFill>
    </fill>
  </fills>
  <borders count="5">
    <border>
      <left/>
      <right/>
      <top/>
      <bottom/>
      <diagonal/>
    </border>
    <border>
      <left style="thin">
        <color rgb="FF9AA7BF"/>
      </left>
      <right style="thin">
        <color rgb="FF9AA7BF"/>
      </right>
      <top style="thin">
        <color rgb="FF9AA7BF"/>
      </top>
      <bottom style="thin">
        <color rgb="FF9AA7BF"/>
      </bottom>
      <diagonal/>
    </border>
    <border>
      <left style="thin">
        <color rgb="FFD9E0E8"/>
      </left>
      <right style="thin">
        <color rgb="FFD9E0E8"/>
      </right>
      <top style="thin">
        <color rgb="FFD9E0E8"/>
      </top>
      <bottom style="thin">
        <color rgb="FFD9E0E8"/>
      </bottom>
      <diagonal/>
    </border>
    <border>
      <left style="thin">
        <color rgb="FFD7DEEA"/>
      </left>
      <right style="thin">
        <color rgb="FFD7DEEA"/>
      </right>
      <top style="thin">
        <color rgb="FFD7DEEA"/>
      </top>
      <bottom style="thin">
        <color rgb="FFD7DEEA"/>
      </bottom>
      <diagonal/>
    </border>
    <border>
      <left style="thin">
        <color rgb="FFCFC7A1"/>
      </left>
      <right style="thin">
        <color rgb="FFCFC7A1"/>
      </right>
      <top style="thin">
        <color rgb="FFCFC7A1"/>
      </top>
      <bottom style="thin">
        <color rgb="FFCFC7A1"/>
      </bottom>
      <diagonal/>
    </border>
  </borders>
  <cellStyleXfs count="1">
    <xf numFmtId="0" fontId="0" fillId="0" borderId="0"/>
  </cellStyleXfs>
  <cellXfs count="31">
    <xf numFmtId="0" fontId="0" fillId="0" borderId="0" xfId="0"/>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0" borderId="0" xfId="0" applyFont="1" applyAlignment="1">
      <alignment vertical="center"/>
    </xf>
    <xf numFmtId="0" fontId="5" fillId="0" borderId="0" xfId="0" applyFont="1" applyAlignment="1">
      <alignment vertical="top" wrapText="1"/>
    </xf>
    <xf numFmtId="0" fontId="6" fillId="0" borderId="0" xfId="0" applyFont="1" applyAlignment="1">
      <alignment vertical="center"/>
    </xf>
    <xf numFmtId="0" fontId="7" fillId="2" borderId="1" xfId="0" applyFont="1" applyFill="1" applyBorder="1" applyAlignment="1">
      <alignment vertical="center"/>
    </xf>
    <xf numFmtId="164" fontId="5" fillId="0" borderId="2" xfId="0" applyNumberFormat="1" applyFont="1" applyBorder="1" applyAlignment="1">
      <alignment horizontal="center" vertical="center"/>
    </xf>
    <xf numFmtId="165" fontId="5" fillId="0" borderId="2" xfId="0" applyNumberFormat="1" applyFont="1" applyBorder="1" applyAlignment="1">
      <alignment horizontal="center" vertical="center"/>
    </xf>
    <xf numFmtId="0" fontId="8" fillId="5" borderId="0" xfId="0" applyFont="1" applyFill="1" applyAlignment="1">
      <alignment horizontal="center" vertical="center"/>
    </xf>
    <xf numFmtId="0" fontId="9" fillId="6" borderId="3" xfId="0" applyFont="1" applyFill="1" applyBorder="1" applyAlignment="1">
      <alignment horizontal="center" vertical="center"/>
    </xf>
    <xf numFmtId="165" fontId="10" fillId="6" borderId="3" xfId="0" applyNumberFormat="1" applyFont="1" applyFill="1" applyBorder="1" applyAlignment="1">
      <alignment horizontal="center" vertical="center"/>
    </xf>
    <xf numFmtId="166" fontId="10" fillId="6" borderId="3" xfId="0" applyNumberFormat="1" applyFont="1" applyFill="1" applyBorder="1" applyAlignment="1">
      <alignment horizontal="center" vertical="center"/>
    </xf>
    <xf numFmtId="0" fontId="10" fillId="6" borderId="3" xfId="0" applyFont="1" applyFill="1" applyBorder="1" applyAlignment="1">
      <alignment horizontal="center" vertical="center"/>
    </xf>
    <xf numFmtId="0" fontId="11" fillId="6" borderId="3" xfId="0" applyFont="1" applyFill="1" applyBorder="1" applyAlignment="1">
      <alignment horizontal="center" vertical="center"/>
    </xf>
    <xf numFmtId="0" fontId="7" fillId="2" borderId="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vertical="center"/>
    </xf>
    <xf numFmtId="0" fontId="4" fillId="7" borderId="2" xfId="0" applyFont="1" applyFill="1" applyBorder="1" applyAlignment="1">
      <alignment horizontal="center" vertical="center"/>
    </xf>
    <xf numFmtId="165" fontId="4" fillId="7" borderId="2" xfId="0" applyNumberFormat="1" applyFont="1" applyFill="1" applyBorder="1" applyAlignment="1">
      <alignment horizontal="center" vertical="center"/>
    </xf>
    <xf numFmtId="166" fontId="5" fillId="0" borderId="2" xfId="0" applyNumberFormat="1" applyFont="1" applyBorder="1" applyAlignment="1">
      <alignment horizontal="center" vertical="center"/>
    </xf>
    <xf numFmtId="166" fontId="4" fillId="7" borderId="2" xfId="0" applyNumberFormat="1" applyFont="1" applyFill="1" applyBorder="1" applyAlignment="1">
      <alignment horizontal="center" vertical="center"/>
    </xf>
    <xf numFmtId="0" fontId="12" fillId="8" borderId="4" xfId="0" applyFont="1" applyFill="1" applyBorder="1" applyAlignment="1">
      <alignment vertical="center"/>
    </xf>
    <xf numFmtId="164" fontId="12" fillId="8" borderId="4" xfId="0" applyNumberFormat="1" applyFont="1" applyFill="1" applyBorder="1" applyAlignment="1">
      <alignment horizontal="center" vertical="center"/>
    </xf>
    <xf numFmtId="165" fontId="12" fillId="8" borderId="4" xfId="0" applyNumberFormat="1" applyFont="1" applyFill="1" applyBorder="1" applyAlignment="1">
      <alignment horizontal="center" vertical="center"/>
    </xf>
    <xf numFmtId="167" fontId="5" fillId="0" borderId="2" xfId="0" applyNumberFormat="1" applyFont="1" applyBorder="1" applyAlignment="1">
      <alignment horizontal="center" vertical="center"/>
    </xf>
    <xf numFmtId="0" fontId="13" fillId="0" borderId="0" xfId="0" applyFont="1" applyAlignment="1">
      <alignment vertical="center"/>
    </xf>
    <xf numFmtId="0" fontId="12" fillId="8" borderId="4" xfId="0" applyFont="1" applyFill="1" applyBorder="1" applyAlignment="1">
      <alignment horizontal="center" vertical="center"/>
    </xf>
    <xf numFmtId="0" fontId="12" fillId="8" borderId="4" xfId="0" applyFont="1" applyFill="1" applyBorder="1" applyAlignment="1">
      <alignment vertical="center" wrapText="1"/>
    </xf>
    <xf numFmtId="0" fontId="5" fillId="0" borderId="2" xfId="0" applyFont="1" applyBorder="1" applyAlignment="1">
      <alignment vertical="center" wrapText="1"/>
    </xf>
  </cellXfs>
  <cellStyles count="1">
    <cellStyle name="Normal" xfId="0" builtinId="0"/>
  </cellStyles>
  <dxfs count="8">
    <dxf>
      <font>
        <b/>
        <color rgb="FF9B1C12"/>
      </font>
      <fill>
        <patternFill>
          <bgColor rgb="FFF6C9C4"/>
        </patternFill>
      </fill>
    </dxf>
    <dxf>
      <font>
        <color rgb="FF14663A"/>
      </font>
      <fill>
        <patternFill>
          <bgColor rgb="FFE3F5EA"/>
        </patternFill>
      </fill>
    </dxf>
    <dxf>
      <font>
        <color rgb="FF5B6470"/>
      </font>
      <fill>
        <patternFill>
          <bgColor rgb="FFE6E9EE"/>
        </patternFill>
      </fill>
    </dxf>
    <dxf>
      <font>
        <b/>
        <color rgb="FF14663A"/>
      </font>
      <fill>
        <patternFill>
          <bgColor rgb="FFCDEED9"/>
        </patternFill>
      </fill>
    </dxf>
    <dxf>
      <font>
        <b/>
        <color rgb="FF7A5200"/>
      </font>
      <fill>
        <patternFill>
          <bgColor rgb="FFFDE7A8"/>
        </patternFill>
      </fill>
    </dxf>
    <dxf>
      <font>
        <b/>
        <color rgb="FFFFFFFF"/>
      </font>
      <fill>
        <patternFill>
          <bgColor rgb="FF1B9E4B"/>
        </patternFill>
      </fill>
    </dxf>
    <dxf>
      <font>
        <b/>
        <color rgb="FFFFFFFF"/>
      </font>
      <fill>
        <patternFill>
          <bgColor rgb="FFE0A100"/>
        </patternFill>
      </fill>
    </dxf>
    <dxf>
      <font>
        <b/>
        <color rgb="FFFFFFFF"/>
      </font>
      <fill>
        <patternFill>
          <bgColor rgb="FFD64541"/>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baseline="0">
                <a:solidFill>
                  <a:srgbClr val="14213D"/>
                </a:solidFill>
                <a:latin typeface="Arial"/>
              </a:defRPr>
            </a:pPr>
            <a:r>
              <a:rPr lang="en-US" sz="1200" b="1" baseline="0">
                <a:solidFill>
                  <a:srgbClr val="14213D"/>
                </a:solidFill>
                <a:latin typeface="Arial"/>
              </a:rPr>
              <a:t>Audits done vs required by layer</a:t>
            </a:r>
          </a:p>
        </c:rich>
      </c:tx>
      <c:layout/>
    </c:title>
    <c:plotArea>
      <c:layout/>
      <c:barChart>
        <c:barDir val="col"/>
        <c:grouping val="clustered"/>
        <c:ser>
          <c:idx val="0"/>
          <c:order val="0"/>
          <c:tx>
            <c:v>Done</c:v>
          </c:tx>
          <c:spPr>
            <a:solidFill>
              <a:srgbClr val="1B9E4B"/>
            </a:solidFill>
          </c:spPr>
          <c:dLbls>
            <c:showVal val="1"/>
          </c:dLbls>
          <c:cat>
            <c:strRef>
              <c:f>Dashboard!$A$13:$A$15</c:f>
              <c:strCache>
                <c:ptCount val="3"/>
                <c:pt idx="0">
                  <c:v>L1</c:v>
                </c:pt>
                <c:pt idx="1">
                  <c:v>L2</c:v>
                </c:pt>
                <c:pt idx="2">
                  <c:v>L3</c:v>
                </c:pt>
              </c:strCache>
            </c:strRef>
          </c:cat>
          <c:val>
            <c:numRef>
              <c:f>Dashboard!$D$13:$D$15</c:f>
              <c:numCache>
                <c:formatCode>General</c:formatCode>
                <c:ptCount val="3"/>
                <c:pt idx="0">
                  <c:v>114.0</c:v>
                </c:pt>
                <c:pt idx="1">
                  <c:v>49.0</c:v>
                </c:pt>
                <c:pt idx="2">
                  <c:v>26.0</c:v>
                </c:pt>
              </c:numCache>
            </c:numRef>
          </c:val>
        </c:ser>
        <c:ser>
          <c:idx val="1"/>
          <c:order val="1"/>
          <c:tx>
            <c:v>Required</c:v>
          </c:tx>
          <c:spPr>
            <a:solidFill>
              <a:srgbClr val="AAB7C9"/>
            </a:solidFill>
          </c:spPr>
          <c:dLbls>
            <c:showVal val="1"/>
          </c:dLbls>
          <c:cat>
            <c:strRef>
              <c:f>Dashboard!$A$13:$A$15</c:f>
              <c:strCache>
                <c:ptCount val="3"/>
                <c:pt idx="0">
                  <c:v>L1</c:v>
                </c:pt>
                <c:pt idx="1">
                  <c:v>L2</c:v>
                </c:pt>
                <c:pt idx="2">
                  <c:v>L3</c:v>
                </c:pt>
              </c:strCache>
            </c:strRef>
          </c:cat>
          <c:val>
            <c:numRef>
              <c:f>Dashboard!$E$13:$E$15</c:f>
              <c:numCache>
                <c:formatCode>General</c:formatCode>
                <c:ptCount val="3"/>
                <c:pt idx="0">
                  <c:v>116.0</c:v>
                </c:pt>
                <c:pt idx="1">
                  <c:v>58.0</c:v>
                </c:pt>
                <c:pt idx="2">
                  <c:v>29.0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spPr>
            <a:ln>
              <a:solidFill>
                <a:srgbClr val="E3E8EE"/>
              </a:solidFill>
            </a:ln>
          </c:spPr>
        </c:majorGridlines>
        <c:numFmt formatCode="General" sourceLinked="1"/>
        <c:tickLblPos val="nextTo"/>
        <c:crossAx val="50010001"/>
        <c:crosses val="autoZero"/>
        <c:crossBetween val="between"/>
      </c:valAx>
    </c:plotArea>
    <c:legend>
      <c:legendPos val="b"/>
      <c:layout/>
      <c:txPr>
        <a:bodyPr/>
        <a:lstStyle/>
        <a:p>
          <a:pPr>
            <a:defRPr sz="900" baseline="0">
              <a:latin typeface="Arial"/>
            </a:defRPr>
          </a:pPr>
          <a:endParaRPr lang="en-US"/>
        </a:p>
      </c:txPr>
    </c:legend>
    <c:plotVisOnly val="1"/>
  </c:chart>
  <c:spPr>
    <a:ln>
      <a:solidFill>
        <a:srgbClr val="D7DEEA"/>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baseline="0">
                <a:solidFill>
                  <a:srgbClr val="14213D"/>
                </a:solidFill>
                <a:latin typeface="Arial"/>
              </a:defRPr>
            </a:pPr>
            <a:r>
              <a:rPr lang="en-US" sz="1200" b="1" baseline="0">
                <a:solidFill>
                  <a:srgbClr val="14213D"/>
                </a:solidFill>
                <a:latin typeface="Arial"/>
              </a:rPr>
              <a:t>Compliance score by area (vs target)</a:t>
            </a:r>
          </a:p>
        </c:rich>
      </c:tx>
      <c:layout/>
    </c:title>
    <c:plotArea>
      <c:layout/>
      <c:barChart>
        <c:barDir val="col"/>
        <c:grouping val="clustered"/>
        <c:ser>
          <c:idx val="0"/>
          <c:order val="0"/>
          <c:tx>
            <c:v>Score</c:v>
          </c:tx>
          <c:spPr>
            <a:solidFill>
              <a:srgbClr val="14213D"/>
            </a:solidFill>
          </c:spPr>
          <c:dLbls>
            <c:numFmt formatCode="0%" sourceLinked="0"/>
            <c:showVal val="1"/>
          </c:dLbls>
          <c:cat>
            <c:strRef>
              <c:f>Dashboard!$A$20:$A$25</c:f>
              <c:strCache>
                <c:ptCount val="6"/>
                <c:pt idx="0">
                  <c:v>Press Line 1</c:v>
                </c:pt>
                <c:pt idx="1">
                  <c:v>Brazing Cell A</c:v>
                </c:pt>
                <c:pt idx="2">
                  <c:v>Assembly Line 1</c:v>
                </c:pt>
                <c:pt idx="3">
                  <c:v>Paint Shop</c:v>
                </c:pt>
                <c:pt idx="4">
                  <c:v>Final Test</c:v>
                </c:pt>
                <c:pt idx="5">
                  <c:v>Packaging</c:v>
                </c:pt>
              </c:strCache>
            </c:strRef>
          </c:cat>
          <c:val>
            <c:numRef>
              <c:f>Dashboard!$F$20:$F$25</c:f>
              <c:numCache>
                <c:formatCode>General</c:formatCode>
                <c:ptCount val="6"/>
                <c:pt idx="0">
                  <c:v>0.9754464285714286</c:v>
                </c:pt>
                <c:pt idx="1">
                  <c:v>0.958997722095672</c:v>
                </c:pt>
                <c:pt idx="2">
                  <c:v>0.9611231101511879</c:v>
                </c:pt>
                <c:pt idx="3">
                  <c:v>0.9535398230088495</c:v>
                </c:pt>
                <c:pt idx="4">
                  <c:v>0.9832285115303984</c:v>
                </c:pt>
                <c:pt idx="5">
                  <c:v>0.9638297872340426</c:v>
                </c:pt>
              </c:numCache>
            </c:numRef>
          </c:val>
        </c:ser>
        <c:axId val="50020001"/>
        <c:axId val="50020002"/>
      </c:barChart>
      <c:lineChart>
        <c:grouping val="standard"/>
        <c:ser>
          <c:idx val="1"/>
          <c:order val="1"/>
          <c:tx>
            <c:v>Target</c:v>
          </c:tx>
          <c:spPr>
            <a:ln w="31750">
              <a:solidFill>
                <a:srgbClr val="FCA311"/>
              </a:solidFill>
            </a:ln>
          </c:spPr>
          <c:marker>
            <c:symbol val="none"/>
          </c:marker>
          <c:cat>
            <c:strRef>
              <c:f>Dashboard!$A$20:$A$25</c:f>
              <c:strCache>
                <c:ptCount val="6"/>
                <c:pt idx="0">
                  <c:v>Press Line 1</c:v>
                </c:pt>
                <c:pt idx="1">
                  <c:v>Brazing Cell A</c:v>
                </c:pt>
                <c:pt idx="2">
                  <c:v>Assembly Line 1</c:v>
                </c:pt>
                <c:pt idx="3">
                  <c:v>Paint Shop</c:v>
                </c:pt>
                <c:pt idx="4">
                  <c:v>Final Test</c:v>
                </c:pt>
                <c:pt idx="5">
                  <c:v>Packaging</c:v>
                </c:pt>
              </c:strCache>
            </c:strRef>
          </c:cat>
          <c:val>
            <c:numRef>
              <c:f>Dashboard!$G$20:$G$25</c:f>
              <c:numCache>
                <c:formatCode>General</c:formatCode>
                <c:ptCount val="6"/>
                <c:pt idx="0">
                  <c:v>0.95</c:v>
                </c:pt>
                <c:pt idx="1">
                  <c:v>0.95</c:v>
                </c:pt>
                <c:pt idx="2">
                  <c:v>0.95</c:v>
                </c:pt>
                <c:pt idx="3">
                  <c:v>0.95</c:v>
                </c:pt>
                <c:pt idx="4">
                  <c:v>0.95</c:v>
                </c:pt>
                <c:pt idx="5">
                  <c:v>0.95</c:v>
                </c:pt>
              </c:numCache>
            </c:numRef>
          </c:val>
        </c:ser>
        <c:marker val="1"/>
        <c:axId val="50020001"/>
        <c:axId val="50020002"/>
      </c:lineChart>
      <c:catAx>
        <c:axId val="50020001"/>
        <c:scaling>
          <c:orientation val="minMax"/>
        </c:scaling>
        <c:axPos val="b"/>
        <c:tickLblPos val="nextTo"/>
        <c:crossAx val="50020002"/>
        <c:crosses val="autoZero"/>
        <c:auto val="1"/>
        <c:lblAlgn val="ctr"/>
        <c:lblOffset val="100"/>
      </c:catAx>
      <c:valAx>
        <c:axId val="50020002"/>
        <c:scaling>
          <c:orientation val="minMax"/>
          <c:max val="1"/>
          <c:min val="0.8"/>
        </c:scaling>
        <c:axPos val="l"/>
        <c:majorGridlines>
          <c:spPr>
            <a:ln>
              <a:solidFill>
                <a:srgbClr val="E3E8EE"/>
              </a:solidFill>
            </a:ln>
          </c:spPr>
        </c:majorGridlines>
        <c:numFmt formatCode="0%" sourceLinked="0"/>
        <c:tickLblPos val="nextTo"/>
        <c:crossAx val="50020001"/>
        <c:crosses val="autoZero"/>
        <c:crossBetween val="between"/>
      </c:valAx>
    </c:plotArea>
    <c:legend>
      <c:legendPos val="b"/>
      <c:layout/>
      <c:txPr>
        <a:bodyPr/>
        <a:lstStyle/>
        <a:p>
          <a:pPr>
            <a:defRPr sz="900" baseline="0">
              <a:latin typeface="Arial"/>
            </a:defRPr>
          </a:pPr>
          <a:endParaRPr lang="en-US"/>
        </a:p>
      </c:txPr>
    </c:legend>
    <c:plotVisOnly val="1"/>
  </c:chart>
  <c:spPr>
    <a:ln>
      <a:solidFill>
        <a:srgbClr val="D7DEEA"/>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baseline="0">
                <a:solidFill>
                  <a:srgbClr val="14213D"/>
                </a:solidFill>
                <a:latin typeface="Arial"/>
              </a:defRPr>
            </a:pPr>
            <a:r>
              <a:rPr lang="en-US" sz="1200" b="1" baseline="0">
                <a:solidFill>
                  <a:srgbClr val="14213D"/>
                </a:solidFill>
                <a:latin typeface="Arial"/>
              </a:rPr>
              <a:t>NOK answers by question</a:t>
            </a:r>
          </a:p>
        </c:rich>
      </c:tx>
      <c:layout/>
    </c:title>
    <c:plotArea>
      <c:layout/>
      <c:barChart>
        <c:barDir val="col"/>
        <c:grouping val="clustered"/>
        <c:ser>
          <c:idx val="0"/>
          <c:order val="0"/>
          <c:tx>
            <c:v>NOK answers</c:v>
          </c:tx>
          <c:spPr>
            <a:solidFill>
              <a:srgbClr val="D64541"/>
            </a:solidFill>
          </c:spPr>
          <c:dLbls>
            <c:showVal val="1"/>
          </c:dLbls>
          <c:cat>
            <c:strRef>
              <c:f>Checklist!$B$6:$B$20</c:f>
              <c:strCache>
                <c:ptCount val="15"/>
                <c:pt idx="0">
                  <c:v>Q01</c:v>
                </c:pt>
                <c:pt idx="1">
                  <c:v>Q02</c:v>
                </c:pt>
                <c:pt idx="2">
                  <c:v>Q03</c:v>
                </c:pt>
                <c:pt idx="3">
                  <c:v>Q04</c:v>
                </c:pt>
                <c:pt idx="4">
                  <c:v>Q05</c:v>
                </c:pt>
                <c:pt idx="5">
                  <c:v>Q06</c:v>
                </c:pt>
                <c:pt idx="6">
                  <c:v>Q07</c:v>
                </c:pt>
                <c:pt idx="7">
                  <c:v>Q08</c:v>
                </c:pt>
                <c:pt idx="8">
                  <c:v>Q09</c:v>
                </c:pt>
                <c:pt idx="9">
                  <c:v>Q10</c:v>
                </c:pt>
                <c:pt idx="10">
                  <c:v>Q11</c:v>
                </c:pt>
                <c:pt idx="11">
                  <c:v>Q12</c:v>
                </c:pt>
                <c:pt idx="12">
                  <c:v>Q13</c:v>
                </c:pt>
                <c:pt idx="13">
                  <c:v>Q14</c:v>
                </c:pt>
                <c:pt idx="14">
                  <c:v>Q15</c:v>
                </c:pt>
              </c:strCache>
            </c:strRef>
          </c:cat>
          <c:val>
            <c:numRef>
              <c:f>Checklist!$G$6:$G$20</c:f>
              <c:numCache>
                <c:formatCode>General</c:formatCode>
                <c:ptCount val="15"/>
                <c:pt idx="0">
                  <c:v>8.0</c:v>
                </c:pt>
                <c:pt idx="1">
                  <c:v>6.0</c:v>
                </c:pt>
                <c:pt idx="2">
                  <c:v>10.0</c:v>
                </c:pt>
                <c:pt idx="3">
                  <c:v>5.0</c:v>
                </c:pt>
                <c:pt idx="4">
                  <c:v>4.0</c:v>
                </c:pt>
                <c:pt idx="5">
                  <c:v>9.0</c:v>
                </c:pt>
                <c:pt idx="6">
                  <c:v>7.0</c:v>
                </c:pt>
                <c:pt idx="7">
                  <c:v>11.0</c:v>
                </c:pt>
                <c:pt idx="8">
                  <c:v>3.0</c:v>
                </c:pt>
                <c:pt idx="9">
                  <c:v>6.0</c:v>
                </c:pt>
                <c:pt idx="10">
                  <c:v>5.0</c:v>
                </c:pt>
                <c:pt idx="11">
                  <c:v>3.0</c:v>
                </c:pt>
                <c:pt idx="12">
                  <c:v>2.0</c:v>
                </c:pt>
                <c:pt idx="13">
                  <c:v>8.0</c:v>
                </c:pt>
                <c:pt idx="14">
                  <c:v>6.0</c:v>
                </c:pt>
              </c:numCache>
            </c:numRef>
          </c:val>
        </c:ser>
        <c:axId val="50030001"/>
        <c:axId val="50030002"/>
      </c:barChart>
      <c:catAx>
        <c:axId val="50030001"/>
        <c:scaling>
          <c:orientation val="minMax"/>
        </c:scaling>
        <c:axPos val="b"/>
        <c:tickLblPos val="nextTo"/>
        <c:crossAx val="50030002"/>
        <c:crosses val="autoZero"/>
        <c:auto val="1"/>
        <c:lblAlgn val="ctr"/>
        <c:lblOffset val="100"/>
      </c:catAx>
      <c:valAx>
        <c:axId val="50030002"/>
        <c:scaling>
          <c:orientation val="minMax"/>
        </c:scaling>
        <c:axPos val="l"/>
        <c:majorGridlines/>
        <c:numFmt formatCode="General" sourceLinked="1"/>
        <c:tickLblPos val="nextTo"/>
        <c:crossAx val="50030001"/>
        <c:crosses val="autoZero"/>
        <c:crossBetween val="between"/>
      </c:valAx>
    </c:plotArea>
    <c:plotVisOnly val="1"/>
  </c:chart>
  <c:spPr>
    <a:ln>
      <a:solidFill>
        <a:srgbClr val="D7DEEA"/>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19050</xdr:colOff>
      <xdr:row>27</xdr:row>
      <xdr:rowOff>38100</xdr:rowOff>
    </xdr:from>
    <xdr:to>
      <xdr:col>5</xdr:col>
      <xdr:colOff>781050</xdr:colOff>
      <xdr:row>41</xdr:row>
      <xdr:rowOff>133350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27</xdr:row>
      <xdr:rowOff>38100</xdr:rowOff>
    </xdr:from>
    <xdr:to>
      <xdr:col>11</xdr:col>
      <xdr:colOff>781050</xdr:colOff>
      <xdr:row>41</xdr:row>
      <xdr:rowOff>133350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43</xdr:row>
      <xdr:rowOff>38100</xdr:rowOff>
    </xdr:from>
    <xdr:to>
      <xdr:col>11</xdr:col>
      <xdr:colOff>628650</xdr:colOff>
      <xdr:row>57</xdr:row>
      <xdr:rowOff>38100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etsy.com/listing/4600015150/layered-process-audit-lpa-system-exce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D27"/>
  <sheetViews>
    <sheetView showGridLines="0" tabSelected="1" workbookViewId="0"/>
  </sheetViews>
  <sheetFormatPr defaultRowHeight="15"/>
  <cols>
    <col min="1" max="1" width="3.7109375" customWidth="1"/>
    <col min="2" max="2" width="22.7109375" customWidth="1"/>
    <col min="3" max="3" width="70.7109375" customWidth="1"/>
    <col min="4" max="4" width="3.7109375" customWidth="1"/>
  </cols>
  <sheetData>
    <row r="1" spans="1:4" ht="33.75" customHeight="1">
      <c r="A1" s="1" t="s">
        <v>252</v>
      </c>
      <c r="B1" s="1"/>
      <c r="C1" s="1"/>
      <c r="D1" s="1"/>
    </row>
    <row r="2" spans="1:4">
      <c r="A2" s="2" t="s">
        <v>253</v>
      </c>
      <c r="B2" s="2"/>
      <c r="C2" s="2"/>
      <c r="D2" s="2"/>
    </row>
    <row r="4" spans="1:4">
      <c r="B4" s="3" t="s">
        <v>254</v>
      </c>
      <c r="C4" s="3"/>
    </row>
    <row r="6" spans="1:4">
      <c r="B6" s="4" t="s">
        <v>255</v>
      </c>
      <c r="C6" s="5" t="s">
        <v>256</v>
      </c>
    </row>
    <row r="7" spans="1:4">
      <c r="B7" s="4" t="s">
        <v>257</v>
      </c>
      <c r="C7" s="5" t="s">
        <v>258</v>
      </c>
    </row>
    <row r="8" spans="1:4">
      <c r="B8" s="4" t="s">
        <v>259</v>
      </c>
      <c r="C8" s="5" t="s">
        <v>260</v>
      </c>
    </row>
    <row r="9" spans="1:4">
      <c r="B9" s="4" t="s">
        <v>261</v>
      </c>
      <c r="C9" s="5" t="s">
        <v>262</v>
      </c>
    </row>
    <row r="10" spans="1:4">
      <c r="B10" s="4" t="s">
        <v>263</v>
      </c>
      <c r="C10" s="5" t="s">
        <v>264</v>
      </c>
    </row>
    <row r="12" spans="1:4">
      <c r="B12" s="3" t="s">
        <v>265</v>
      </c>
      <c r="C12" s="3"/>
    </row>
    <row r="13" spans="1:4" ht="42" customHeight="1">
      <c r="B13" s="5" t="s">
        <v>266</v>
      </c>
      <c r="C13" s="5"/>
    </row>
    <row r="15" spans="1:4">
      <c r="B15" s="3" t="s">
        <v>267</v>
      </c>
      <c r="C15" s="3"/>
    </row>
    <row r="16" spans="1:4">
      <c r="B16" s="4" t="s">
        <v>268</v>
      </c>
      <c r="C16" t="s">
        <v>269</v>
      </c>
    </row>
    <row r="17" spans="2:3">
      <c r="B17" s="4" t="s">
        <v>268</v>
      </c>
      <c r="C17" t="s">
        <v>270</v>
      </c>
    </row>
    <row r="18" spans="2:3">
      <c r="B18" s="4" t="s">
        <v>268</v>
      </c>
      <c r="C18" t="s">
        <v>271</v>
      </c>
    </row>
    <row r="19" spans="2:3">
      <c r="B19" s="4" t="s">
        <v>268</v>
      </c>
      <c r="C19" t="s">
        <v>272</v>
      </c>
    </row>
    <row r="20" spans="2:3">
      <c r="B20" s="4" t="s">
        <v>268</v>
      </c>
      <c r="C20" t="s">
        <v>273</v>
      </c>
    </row>
    <row r="22" spans="2:3">
      <c r="B22" s="3" t="s">
        <v>274</v>
      </c>
      <c r="C22" s="3"/>
    </row>
    <row r="23" spans="2:3" ht="56.25" customHeight="1">
      <c r="B23" s="5" t="s">
        <v>275</v>
      </c>
      <c r="C23" s="5"/>
    </row>
    <row r="24" spans="2:3">
      <c r="B24" s="6" t="s">
        <v>276</v>
      </c>
    </row>
    <row r="26" spans="2:3">
      <c r="B26" s="3" t="s">
        <v>277</v>
      </c>
      <c r="C26" s="3"/>
    </row>
    <row r="27" spans="2:3" ht="56.25" customHeight="1">
      <c r="B27" s="5" t="s">
        <v>278</v>
      </c>
      <c r="C27" s="5"/>
    </row>
  </sheetData>
  <mergeCells count="5">
    <mergeCell ref="A1:D1"/>
    <mergeCell ref="A2:D2"/>
    <mergeCell ref="B13:C13"/>
    <mergeCell ref="B23:C23"/>
    <mergeCell ref="B27:C27"/>
  </mergeCells>
  <hyperlinks>
    <hyperlink ref="B24"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A1:L26"/>
  <sheetViews>
    <sheetView showGridLines="0" workbookViewId="0"/>
  </sheetViews>
  <sheetFormatPr defaultRowHeight="15"/>
  <cols>
    <col min="1" max="12" width="13.7109375" customWidth="1"/>
    <col min="13" max="13" width="3.7109375" customWidth="1"/>
  </cols>
  <sheetData>
    <row r="1" spans="1:12" ht="33.75" customHeight="1">
      <c r="A1" s="1" t="s">
        <v>231</v>
      </c>
      <c r="B1" s="1"/>
      <c r="C1" s="1"/>
      <c r="D1" s="1"/>
      <c r="E1" s="1"/>
      <c r="F1" s="1"/>
      <c r="G1" s="1"/>
      <c r="H1" s="1"/>
      <c r="I1" s="1"/>
      <c r="J1" s="1"/>
      <c r="K1" s="1"/>
      <c r="L1" s="1"/>
    </row>
    <row r="2" spans="1:12">
      <c r="A2" s="2" t="str">
        <f>Setup!$C$4&amp;"   |   CQI-8 style layered process audit   |   year to date"</f>
        <v>Example Components Plant   |   CQI-8 style layered process audit   |   year to date</v>
      </c>
      <c r="B2" s="2"/>
      <c r="C2" s="2"/>
      <c r="D2" s="2"/>
      <c r="E2" s="2"/>
      <c r="F2" s="2"/>
      <c r="G2" s="2"/>
      <c r="H2" s="2"/>
      <c r="I2" s="2"/>
      <c r="J2" s="2"/>
      <c r="K2" s="2"/>
      <c r="L2" s="2"/>
    </row>
    <row r="3" spans="1:12">
      <c r="A3" s="7" t="s">
        <v>232</v>
      </c>
      <c r="B3" s="7"/>
      <c r="C3" s="8">
        <f>Setup!$C$5</f>
        <v>46315.0</v>
      </c>
      <c r="D3" s="8"/>
      <c r="E3" s="7" t="s">
        <v>233</v>
      </c>
      <c r="F3" s="7"/>
      <c r="G3" s="9">
        <f>Setup!$C$7</f>
        <v>0.95</v>
      </c>
      <c r="H3" s="9"/>
    </row>
    <row r="5" spans="1:12">
      <c r="A5" s="10" t="str">
        <f>IF(E16=0,"NO AUDIT DATA YET",IF(D16/E16&gt;=0.95,"AUDIT PROGRAM ON TRACK",IF(D16/E16&gt;=0.8,"AUDIT PROGRAM AT RISK","AUDIT PROGRAM BEHIND SCHEDULE")))</f>
        <v>AUDIT PROGRAM AT RISK</v>
      </c>
      <c r="B5" s="10"/>
      <c r="C5" s="10"/>
      <c r="D5" s="10"/>
      <c r="E5" s="10"/>
      <c r="F5" s="10"/>
      <c r="G5" s="10"/>
      <c r="H5" s="10"/>
      <c r="I5" s="10"/>
      <c r="J5" s="10"/>
      <c r="K5" s="10"/>
      <c r="L5" s="10"/>
    </row>
    <row r="7" spans="1:12">
      <c r="A7" s="11" t="s">
        <v>234</v>
      </c>
      <c r="B7" s="11"/>
      <c r="C7" s="11" t="s">
        <v>235</v>
      </c>
      <c r="D7" s="11"/>
      <c r="E7" s="11" t="s">
        <v>236</v>
      </c>
      <c r="F7" s="11"/>
      <c r="G7" s="11" t="s">
        <v>237</v>
      </c>
      <c r="H7" s="11"/>
      <c r="I7" s="11" t="s">
        <v>238</v>
      </c>
      <c r="J7" s="11"/>
      <c r="K7" s="11" t="s">
        <v>239</v>
      </c>
      <c r="L7" s="11"/>
    </row>
    <row r="8" spans="1:12" ht="39.75" customHeight="1">
      <c r="A8" s="12">
        <f>IF(E16=0,"-",MIN(1,D16/E16))</f>
        <v>0.9310344827586207</v>
      </c>
      <c r="B8" s="12"/>
      <c r="C8" s="13">
        <f>IF(D26+E26=0,"-",D26/(D26+E26))</f>
        <v>0.9661695161877046</v>
      </c>
      <c r="D8" s="13"/>
      <c r="E8" s="14">
        <f>E26</f>
        <v>93.0</v>
      </c>
      <c r="F8" s="14"/>
      <c r="G8" s="14">
        <f>SUM(Findings!$Q$6:$Q$305)</f>
        <v>9.0</v>
      </c>
      <c r="H8" s="14"/>
      <c r="I8" s="14">
        <f>COUNTIF(Findings!$P$6:$P$305,"OVERDUE")</f>
        <v>8.0</v>
      </c>
      <c r="J8" s="14"/>
      <c r="K8" s="14">
        <f>COUNTIFS(Audit_Log!$Y$6:$Y$405,"FAIL",Audit_Log!$B$6:$B$405,"&gt;="&amp;Setup!$C$6,Audit_Log!$B$6:$B$405,"&lt;="&amp;Setup!$C$5)</f>
        <v>75.0</v>
      </c>
      <c r="L8" s="14"/>
    </row>
    <row r="9" spans="1:12">
      <c r="A9" s="15" t="str">
        <f>D16&amp;" done of "&amp;E16&amp;" required"</f>
        <v>189 done of 203 required</v>
      </c>
      <c r="B9" s="15"/>
      <c r="C9" s="15" t="str">
        <f>"Target "&amp;ROUND(Setup!$C$7*100,0)&amp;"%  |  "&amp;D26&amp;" OK / "&amp;E26&amp;" NOK"</f>
        <v>Target 95%  |  2656 OK / 93 NOK</v>
      </c>
      <c r="D9" s="15"/>
      <c r="E9" s="15" t="str">
        <f>IF(D26+E26=0,"",ROUND(E26/(D26+E26)*100,1)&amp;"% of all answers")</f>
        <v>3.4% of all answers</v>
      </c>
      <c r="F9" s="15"/>
      <c r="G9" s="15" t="str">
        <f>"of "&amp;COUNT(Findings!$Q$6:$Q$305)&amp;" findings logged"</f>
        <v>of 93 findings logged</v>
      </c>
      <c r="H9" s="15"/>
      <c r="I9" s="15" t="str">
        <f>"past the due date at the report date"</f>
        <v>past the due date at the report date</v>
      </c>
      <c r="J9" s="15"/>
      <c r="K9" s="15" t="str">
        <f>"score under "&amp;ROUND(Setup!$C$7*100,0)&amp;"%"</f>
        <v>score under 95%</v>
      </c>
      <c r="L9" s="15"/>
    </row>
    <row r="11" spans="1:12">
      <c r="A11" s="3" t="s">
        <v>240</v>
      </c>
      <c r="B11" s="3"/>
      <c r="C11" s="3"/>
      <c r="D11" s="3"/>
      <c r="E11" s="3"/>
      <c r="F11" s="3"/>
      <c r="G11" s="3"/>
      <c r="H11" s="3"/>
      <c r="I11" s="3"/>
      <c r="J11" s="3"/>
      <c r="K11" s="3"/>
      <c r="L11" s="3"/>
    </row>
    <row r="12" spans="1:12">
      <c r="A12" s="16" t="s">
        <v>31</v>
      </c>
      <c r="B12" s="16" t="s">
        <v>241</v>
      </c>
      <c r="C12" s="16"/>
      <c r="D12" s="16" t="s">
        <v>242</v>
      </c>
      <c r="E12" s="16" t="s">
        <v>243</v>
      </c>
      <c r="F12" s="16" t="s">
        <v>244</v>
      </c>
    </row>
    <row r="13" spans="1:12">
      <c r="A13" s="17" t="str">
        <f>Setup!$A$12</f>
        <v>L1</v>
      </c>
      <c r="B13" s="18" t="str">
        <f>Setup!$B$12</f>
        <v>Team leader / line leader</v>
      </c>
      <c r="C13" s="18"/>
      <c r="D13" s="17">
        <f>COUNTIFS(Audit_Log!$D$6:$D$405,$A13,Audit_Log!$B$6:$B$405,"&gt;="&amp;Setup!$C$6,Audit_Log!$B$6:$B$405,"&lt;="&amp;Setup!$C$5)</f>
        <v>114.0</v>
      </c>
      <c r="E13" s="17">
        <f>ROUND(Setup!$C$12*Setup!$C$9*Setup!$C$8,0)</f>
        <v>116.0</v>
      </c>
      <c r="F13" s="9">
        <f>IF(E13=0,"",D13/E13)</f>
        <v>0.9827586206896551</v>
      </c>
    </row>
    <row r="14" spans="1:12">
      <c r="A14" s="17" t="str">
        <f>Setup!$A$13</f>
        <v>L2</v>
      </c>
      <c r="B14" s="18" t="str">
        <f>Setup!$B$13</f>
        <v>Supervisor / shift manager</v>
      </c>
      <c r="C14" s="18"/>
      <c r="D14" s="17">
        <f>COUNTIFS(Audit_Log!$D$6:$D$405,$A14,Audit_Log!$B$6:$B$405,"&gt;="&amp;Setup!$C$6,Audit_Log!$B$6:$B$405,"&lt;="&amp;Setup!$C$5)</f>
        <v>49.0</v>
      </c>
      <c r="E14" s="17">
        <f>ROUND(Setup!$C$13*Setup!$C$9*Setup!$C$8,0)</f>
        <v>58.0</v>
      </c>
      <c r="F14" s="9">
        <f>IF(E14=0,"",D14/E14)</f>
        <v>0.8448275862068966</v>
      </c>
    </row>
    <row r="15" spans="1:12">
      <c r="A15" s="17" t="str">
        <f>Setup!$A$14</f>
        <v>L3</v>
      </c>
      <c r="B15" s="18" t="str">
        <f>Setup!$B$14</f>
        <v>Department manager</v>
      </c>
      <c r="C15" s="18"/>
      <c r="D15" s="17">
        <f>COUNTIFS(Audit_Log!$D$6:$D$405,$A15,Audit_Log!$B$6:$B$405,"&gt;="&amp;Setup!$C$6,Audit_Log!$B$6:$B$405,"&lt;="&amp;Setup!$C$5)</f>
        <v>26.0</v>
      </c>
      <c r="E15" s="17">
        <f>ROUND(Setup!$C$14*Setup!$C$9*Setup!$C$8,0)</f>
        <v>29.0</v>
      </c>
      <c r="F15" s="9">
        <f>IF(E15=0,"",D15/E15)</f>
        <v>0.896551724137931</v>
      </c>
    </row>
    <row r="16" spans="1:12">
      <c r="A16" s="19" t="s">
        <v>245</v>
      </c>
      <c r="B16" s="19"/>
      <c r="C16" s="19"/>
      <c r="D16" s="19">
        <f>SUM(D13:D15)</f>
        <v>189.0</v>
      </c>
      <c r="E16" s="19">
        <f>SUM(E13:E15)</f>
        <v>203.0</v>
      </c>
      <c r="F16" s="20">
        <f>IF(E16=0,"",D16/E16)</f>
        <v>0.9310344827586207</v>
      </c>
    </row>
    <row r="18" spans="1:12">
      <c r="A18" s="3" t="s">
        <v>246</v>
      </c>
      <c r="B18" s="3"/>
      <c r="C18" s="3"/>
      <c r="D18" s="3"/>
      <c r="E18" s="3"/>
      <c r="F18" s="3"/>
      <c r="G18" s="3"/>
      <c r="H18" s="3"/>
      <c r="I18" s="3"/>
      <c r="J18" s="3"/>
      <c r="K18" s="3"/>
      <c r="L18" s="3"/>
    </row>
    <row r="19" spans="1:12">
      <c r="A19" s="16" t="s">
        <v>247</v>
      </c>
      <c r="B19" s="16"/>
      <c r="C19" s="16" t="s">
        <v>248</v>
      </c>
      <c r="D19" s="16" t="s">
        <v>49</v>
      </c>
      <c r="E19" s="16" t="s">
        <v>50</v>
      </c>
      <c r="F19" s="16" t="s">
        <v>123</v>
      </c>
      <c r="G19" s="16" t="s">
        <v>249</v>
      </c>
      <c r="H19" s="16" t="s">
        <v>137</v>
      </c>
      <c r="I19" s="16" t="s">
        <v>250</v>
      </c>
    </row>
    <row r="20" spans="1:12">
      <c r="A20" s="18" t="str">
        <f>IF(Setup!$B$17="","",Setup!$B$17)</f>
        <v>Press Line 1</v>
      </c>
      <c r="B20" s="18"/>
      <c r="C20" s="17">
        <f>IF($A20="","",COUNTIFS(Audit_Log!$C$6:$C$405,$A20,Audit_Log!$B$6:$B$405,"&gt;="&amp;Setup!$C$6,Audit_Log!$B$6:$B$405,"&lt;="&amp;Setup!$C$5))</f>
        <v>31.0</v>
      </c>
      <c r="D20" s="17">
        <f>IF($A20="","",SUMIFS(Audit_Log!$V$6:$V$405,Audit_Log!$C$6:$C$405,$A20,Audit_Log!$B$6:$B$405,"&gt;="&amp;Setup!$C$6,Audit_Log!$B$6:$B$405,"&lt;="&amp;Setup!$C$5))</f>
        <v>437.0</v>
      </c>
      <c r="E20" s="17">
        <f>IF($A20="","",SUMIFS(Audit_Log!$W$6:$W$405,Audit_Log!$C$6:$C$405,$A20,Audit_Log!$B$6:$B$405,"&gt;="&amp;Setup!$C$6,Audit_Log!$B$6:$B$405,"&lt;="&amp;Setup!$C$5))</f>
        <v>11.0</v>
      </c>
      <c r="F20" s="21">
        <f>IF($A20="","",IF(D20+E20=0,"",D20/(D20+E20)))</f>
        <v>0.9754464285714286</v>
      </c>
      <c r="G20" s="9">
        <f>IF($A20="","",Setup!$C$7)</f>
        <v>0.95</v>
      </c>
      <c r="H20" s="17" t="str">
        <f>IF(F20="","",IF(F20&gt;=G20,"ON TARGET","BELOW TARGET"))</f>
        <v>ON TARGET</v>
      </c>
      <c r="I20" s="17">
        <f>IF($A20="","",SUMIFS(Findings!$Q$6:$Q$305,Findings!$E$6:$E$305,$A20))</f>
        <v>2.0</v>
      </c>
    </row>
    <row r="21" spans="1:12">
      <c r="A21" s="18" t="str">
        <f>IF(Setup!$B$18="","",Setup!$B$18)</f>
        <v>Brazing Cell A</v>
      </c>
      <c r="B21" s="18"/>
      <c r="C21" s="17">
        <f>IF($A21="","",COUNTIFS(Audit_Log!$C$6:$C$405,$A21,Audit_Log!$B$6:$B$405,"&gt;="&amp;Setup!$C$6,Audit_Log!$B$6:$B$405,"&lt;="&amp;Setup!$C$5))</f>
        <v>30.0</v>
      </c>
      <c r="D21" s="17">
        <f>IF($A21="","",SUMIFS(Audit_Log!$V$6:$V$405,Audit_Log!$C$6:$C$405,$A21,Audit_Log!$B$6:$B$405,"&gt;="&amp;Setup!$C$6,Audit_Log!$B$6:$B$405,"&lt;="&amp;Setup!$C$5))</f>
        <v>421.0</v>
      </c>
      <c r="E21" s="17">
        <f>IF($A21="","",SUMIFS(Audit_Log!$W$6:$W$405,Audit_Log!$C$6:$C$405,$A21,Audit_Log!$B$6:$B$405,"&gt;="&amp;Setup!$C$6,Audit_Log!$B$6:$B$405,"&lt;="&amp;Setup!$C$5))</f>
        <v>18.0</v>
      </c>
      <c r="F21" s="21">
        <f>IF($A21="","",IF(D21+E21=0,"",D21/(D21+E21)))</f>
        <v>0.958997722095672</v>
      </c>
      <c r="G21" s="9">
        <f>IF($A21="","",Setup!$C$7)</f>
        <v>0.95</v>
      </c>
      <c r="H21" s="17" t="str">
        <f>IF(F21="","",IF(F21&gt;=G21,"ON TARGET","BELOW TARGET"))</f>
        <v>ON TARGET</v>
      </c>
      <c r="I21" s="17">
        <f>IF($A21="","",SUMIFS(Findings!$Q$6:$Q$305,Findings!$E$6:$E$305,$A21))</f>
        <v>3.0</v>
      </c>
    </row>
    <row r="22" spans="1:12">
      <c r="A22" s="18" t="str">
        <f>IF(Setup!$B$19="","",Setup!$B$19)</f>
        <v>Assembly Line 1</v>
      </c>
      <c r="B22" s="18"/>
      <c r="C22" s="17">
        <f>IF($A22="","",COUNTIFS(Audit_Log!$C$6:$C$405,$A22,Audit_Log!$B$6:$B$405,"&gt;="&amp;Setup!$C$6,Audit_Log!$B$6:$B$405,"&lt;="&amp;Setup!$C$5))</f>
        <v>32.0</v>
      </c>
      <c r="D22" s="17">
        <f>IF($A22="","",SUMIFS(Audit_Log!$V$6:$V$405,Audit_Log!$C$6:$C$405,$A22,Audit_Log!$B$6:$B$405,"&gt;="&amp;Setup!$C$6,Audit_Log!$B$6:$B$405,"&lt;="&amp;Setup!$C$5))</f>
        <v>445.0</v>
      </c>
      <c r="E22" s="17">
        <f>IF($A22="","",SUMIFS(Audit_Log!$W$6:$W$405,Audit_Log!$C$6:$C$405,$A22,Audit_Log!$B$6:$B$405,"&gt;="&amp;Setup!$C$6,Audit_Log!$B$6:$B$405,"&lt;="&amp;Setup!$C$5))</f>
        <v>18.0</v>
      </c>
      <c r="F22" s="21">
        <f>IF($A22="","",IF(D22+E22=0,"",D22/(D22+E22)))</f>
        <v>0.9611231101511879</v>
      </c>
      <c r="G22" s="9">
        <f>IF($A22="","",Setup!$C$7)</f>
        <v>0.95</v>
      </c>
      <c r="H22" s="17" t="str">
        <f>IF(F22="","",IF(F22&gt;=G22,"ON TARGET","BELOW TARGET"))</f>
        <v>ON TARGET</v>
      </c>
      <c r="I22" s="17">
        <f>IF($A22="","",SUMIFS(Findings!$Q$6:$Q$305,Findings!$E$6:$E$305,$A22))</f>
        <v>2.0</v>
      </c>
    </row>
    <row r="23" spans="1:12">
      <c r="A23" s="18" t="str">
        <f>IF(Setup!$B$20="","",Setup!$B$20)</f>
        <v>Paint Shop</v>
      </c>
      <c r="B23" s="18"/>
      <c r="C23" s="17">
        <f>IF($A23="","",COUNTIFS(Audit_Log!$C$6:$C$405,$A23,Audit_Log!$B$6:$B$405,"&gt;="&amp;Setup!$C$6,Audit_Log!$B$6:$B$405,"&lt;="&amp;Setup!$C$5))</f>
        <v>31.0</v>
      </c>
      <c r="D23" s="17">
        <f>IF($A23="","",SUMIFS(Audit_Log!$V$6:$V$405,Audit_Log!$C$6:$C$405,$A23,Audit_Log!$B$6:$B$405,"&gt;="&amp;Setup!$C$6,Audit_Log!$B$6:$B$405,"&lt;="&amp;Setup!$C$5))</f>
        <v>431.0</v>
      </c>
      <c r="E23" s="17">
        <f>IF($A23="","",SUMIFS(Audit_Log!$W$6:$W$405,Audit_Log!$C$6:$C$405,$A23,Audit_Log!$B$6:$B$405,"&gt;="&amp;Setup!$C$6,Audit_Log!$B$6:$B$405,"&lt;="&amp;Setup!$C$5))</f>
        <v>21.0</v>
      </c>
      <c r="F23" s="21">
        <f>IF($A23="","",IF(D23+E23=0,"",D23/(D23+E23)))</f>
        <v>0.9535398230088495</v>
      </c>
      <c r="G23" s="9">
        <f>IF($A23="","",Setup!$C$7)</f>
        <v>0.95</v>
      </c>
      <c r="H23" s="17" t="str">
        <f>IF(F23="","",IF(F23&gt;=G23,"ON TARGET","BELOW TARGET"))</f>
        <v>ON TARGET</v>
      </c>
      <c r="I23" s="17">
        <f>IF($A23="","",SUMIFS(Findings!$Q$6:$Q$305,Findings!$E$6:$E$305,$A23))</f>
        <v>1.0</v>
      </c>
    </row>
    <row r="24" spans="1:12">
      <c r="A24" s="18" t="str">
        <f>IF(Setup!$B$21="","",Setup!$B$21)</f>
        <v>Final Test</v>
      </c>
      <c r="B24" s="18"/>
      <c r="C24" s="17">
        <f>IF($A24="","",COUNTIFS(Audit_Log!$C$6:$C$405,$A24,Audit_Log!$B$6:$B$405,"&gt;="&amp;Setup!$C$6,Audit_Log!$B$6:$B$405,"&lt;="&amp;Setup!$C$5))</f>
        <v>33.0</v>
      </c>
      <c r="D24" s="17">
        <f>IF($A24="","",SUMIFS(Audit_Log!$V$6:$V$405,Audit_Log!$C$6:$C$405,$A24,Audit_Log!$B$6:$B$405,"&gt;="&amp;Setup!$C$6,Audit_Log!$B$6:$B$405,"&lt;="&amp;Setup!$C$5))</f>
        <v>469.0</v>
      </c>
      <c r="E24" s="17">
        <f>IF($A24="","",SUMIFS(Audit_Log!$W$6:$W$405,Audit_Log!$C$6:$C$405,$A24,Audit_Log!$B$6:$B$405,"&gt;="&amp;Setup!$C$6,Audit_Log!$B$6:$B$405,"&lt;="&amp;Setup!$C$5))</f>
        <v>8.0</v>
      </c>
      <c r="F24" s="21">
        <f>IF($A24="","",IF(D24+E24=0,"",D24/(D24+E24)))</f>
        <v>0.9832285115303984</v>
      </c>
      <c r="G24" s="9">
        <f>IF($A24="","",Setup!$C$7)</f>
        <v>0.95</v>
      </c>
      <c r="H24" s="17" t="str">
        <f>IF(F24="","",IF(F24&gt;=G24,"ON TARGET","BELOW TARGET"))</f>
        <v>ON TARGET</v>
      </c>
      <c r="I24" s="17">
        <f>IF($A24="","",SUMIFS(Findings!$Q$6:$Q$305,Findings!$E$6:$E$305,$A24))</f>
        <v>0.0</v>
      </c>
    </row>
    <row r="25" spans="1:12">
      <c r="A25" s="18" t="str">
        <f>IF(Setup!$B$22="","",Setup!$B$22)</f>
        <v>Packaging</v>
      </c>
      <c r="B25" s="18"/>
      <c r="C25" s="17">
        <f>IF($A25="","",COUNTIFS(Audit_Log!$C$6:$C$405,$A25,Audit_Log!$B$6:$B$405,"&gt;="&amp;Setup!$C$6,Audit_Log!$B$6:$B$405,"&lt;="&amp;Setup!$C$5))</f>
        <v>32.0</v>
      </c>
      <c r="D25" s="17">
        <f>IF($A25="","",SUMIFS(Audit_Log!$V$6:$V$405,Audit_Log!$C$6:$C$405,$A25,Audit_Log!$B$6:$B$405,"&gt;="&amp;Setup!$C$6,Audit_Log!$B$6:$B$405,"&lt;="&amp;Setup!$C$5))</f>
        <v>453.0</v>
      </c>
      <c r="E25" s="17">
        <f>IF($A25="","",SUMIFS(Audit_Log!$W$6:$W$405,Audit_Log!$C$6:$C$405,$A25,Audit_Log!$B$6:$B$405,"&gt;="&amp;Setup!$C$6,Audit_Log!$B$6:$B$405,"&lt;="&amp;Setup!$C$5))</f>
        <v>17.0</v>
      </c>
      <c r="F25" s="21">
        <f>IF($A25="","",IF(D25+E25=0,"",D25/(D25+E25)))</f>
        <v>0.9638297872340426</v>
      </c>
      <c r="G25" s="9">
        <f>IF($A25="","",Setup!$C$7)</f>
        <v>0.95</v>
      </c>
      <c r="H25" s="17" t="str">
        <f>IF(F25="","",IF(F25&gt;=G25,"ON TARGET","BELOW TARGET"))</f>
        <v>ON TARGET</v>
      </c>
      <c r="I25" s="17">
        <f>IF($A25="","",SUMIFS(Findings!$Q$6:$Q$305,Findings!$E$6:$E$305,$A25))</f>
        <v>1.0</v>
      </c>
    </row>
    <row r="26" spans="1:12">
      <c r="A26" s="19" t="s">
        <v>251</v>
      </c>
      <c r="B26" s="19"/>
      <c r="C26" s="19">
        <f>SUM(C20:C25)</f>
        <v>189.0</v>
      </c>
      <c r="D26" s="19">
        <f>SUM(D20:D25)</f>
        <v>2656.0</v>
      </c>
      <c r="E26" s="19">
        <f>SUM(E20:E25)</f>
        <v>93.0</v>
      </c>
      <c r="F26" s="22">
        <f>IF(D26+E26=0,"",D26/(D26+E26))</f>
        <v>0.9661695161877046</v>
      </c>
      <c r="G26" s="20">
        <f>Setup!$C$7</f>
        <v>0.95</v>
      </c>
      <c r="I26" s="19">
        <f>SUM(I20:I25)</f>
        <v>9.0</v>
      </c>
    </row>
  </sheetData>
  <mergeCells count="40">
    <mergeCell ref="A1:L1"/>
    <mergeCell ref="A2:L2"/>
    <mergeCell ref="A3:B3"/>
    <mergeCell ref="C3:D3"/>
    <mergeCell ref="E3:F3"/>
    <mergeCell ref="G3:H3"/>
    <mergeCell ref="A5:L5"/>
    <mergeCell ref="A7:B7"/>
    <mergeCell ref="A8:B8"/>
    <mergeCell ref="A9:B9"/>
    <mergeCell ref="C7:D7"/>
    <mergeCell ref="C8:D8"/>
    <mergeCell ref="C9:D9"/>
    <mergeCell ref="E7:F7"/>
    <mergeCell ref="E8:F8"/>
    <mergeCell ref="E9:F9"/>
    <mergeCell ref="G7:H7"/>
    <mergeCell ref="G8:H8"/>
    <mergeCell ref="G9:H9"/>
    <mergeCell ref="I7:J7"/>
    <mergeCell ref="I8:J8"/>
    <mergeCell ref="I9:J9"/>
    <mergeCell ref="K7:L7"/>
    <mergeCell ref="K8:L8"/>
    <mergeCell ref="K9:L9"/>
    <mergeCell ref="A11:L11"/>
    <mergeCell ref="B12:C12"/>
    <mergeCell ref="B13:C13"/>
    <mergeCell ref="B14:C14"/>
    <mergeCell ref="B15:C15"/>
    <mergeCell ref="A16:C16"/>
    <mergeCell ref="A18:L18"/>
    <mergeCell ref="A19:B19"/>
    <mergeCell ref="A20:B20"/>
    <mergeCell ref="A21:B21"/>
    <mergeCell ref="A22:B22"/>
    <mergeCell ref="A23:B23"/>
    <mergeCell ref="A24:B24"/>
    <mergeCell ref="A25:B25"/>
    <mergeCell ref="A26:B26"/>
  </mergeCells>
  <conditionalFormatting sqref="A5">
    <cfRule type="containsText" dxfId="5" priority="1" operator="containsText" text="ON TRACK">
      <formula>NOT(ISERROR(SEARCH("ON TRACK",A5)))</formula>
    </cfRule>
    <cfRule type="containsText" dxfId="6" priority="2" operator="containsText" text="AT RISK">
      <formula>NOT(ISERROR(SEARCH("AT RISK",A5)))</formula>
    </cfRule>
    <cfRule type="containsText" dxfId="7" priority="3" operator="containsText" text="BEHIND">
      <formula>NOT(ISERROR(SEARCH("BEHIND",A5)))</formula>
    </cfRule>
  </conditionalFormatting>
  <conditionalFormatting sqref="F13:F16">
    <cfRule type="cellIs" dxfId="3" priority="4" operator="greaterThanOrEqual">
      <formula>0.95</formula>
    </cfRule>
    <cfRule type="cellIs" dxfId="4" priority="5" operator="between">
      <formula>0.8</formula>
      <formula>0.9499</formula>
    </cfRule>
    <cfRule type="cellIs" dxfId="0" priority="6" operator="lessThan">
      <formula>0.8</formula>
    </cfRule>
  </conditionalFormatting>
  <conditionalFormatting sqref="H20:H25">
    <cfRule type="cellIs" dxfId="3" priority="7" operator="equal">
      <formula>"ON TARGET"</formula>
    </cfRule>
    <cfRule type="cellIs" dxfId="0" priority="8" operator="equal">
      <formula>"BELOW TARGET"</formula>
    </cfRule>
  </conditionalFormatting>
  <pageMargins left="0.7" right="0.7" top="0.75" bottom="0.75" header="0.3" footer="0.3"/>
  <pageSetup paperSize="9" orientation="landscape"/>
  <drawing r:id="rId1"/>
</worksheet>
</file>

<file path=xl/worksheets/sheet3.xml><?xml version="1.0" encoding="utf-8"?>
<worksheet xmlns="http://schemas.openxmlformats.org/spreadsheetml/2006/main" xmlns:r="http://schemas.openxmlformats.org/officeDocument/2006/relationships">
  <dimension ref="A1:H33"/>
  <sheetViews>
    <sheetView workbookViewId="0">
      <pane ySplit="2" topLeftCell="A3" activePane="bottomLeft" state="frozen"/>
      <selection pane="bottomLeft"/>
    </sheetView>
  </sheetViews>
  <sheetFormatPr defaultRowHeight="15"/>
  <cols>
    <col min="1" max="1" width="8.7109375" customWidth="1"/>
    <col min="2" max="2" width="34.7109375" customWidth="1"/>
    <col min="3" max="3" width="22.7109375" customWidth="1"/>
    <col min="4" max="5" width="4.7109375" customWidth="1"/>
    <col min="6" max="8" width="16.7109375" customWidth="1"/>
  </cols>
  <sheetData>
    <row r="1" spans="1:8" ht="33.75" customHeight="1">
      <c r="A1" s="1" t="s">
        <v>0</v>
      </c>
      <c r="B1" s="1"/>
      <c r="C1" s="1"/>
      <c r="D1" s="1"/>
      <c r="E1" s="1"/>
      <c r="F1" s="1"/>
      <c r="G1" s="1"/>
      <c r="H1" s="1"/>
    </row>
    <row r="2" spans="1:8">
      <c r="A2" s="2" t="s">
        <v>1</v>
      </c>
      <c r="B2" s="2"/>
      <c r="C2" s="2"/>
      <c r="D2" s="2"/>
      <c r="E2" s="2"/>
      <c r="F2" s="2"/>
      <c r="G2" s="2"/>
      <c r="H2" s="2"/>
    </row>
    <row r="3" spans="1:8">
      <c r="A3" s="3" t="s">
        <v>2</v>
      </c>
      <c r="B3" s="3"/>
      <c r="C3" s="3"/>
    </row>
    <row r="4" spans="1:8">
      <c r="B4" s="7" t="s">
        <v>3</v>
      </c>
      <c r="C4" s="23" t="s">
        <v>4</v>
      </c>
      <c r="F4" s="3" t="s">
        <v>39</v>
      </c>
      <c r="G4" s="3"/>
      <c r="H4" s="3"/>
    </row>
    <row r="5" spans="1:8">
      <c r="B5" s="7" t="s">
        <v>5</v>
      </c>
      <c r="C5" s="24">
        <v>46315</v>
      </c>
      <c r="F5" s="16" t="s">
        <v>40</v>
      </c>
      <c r="G5" s="16" t="s">
        <v>41</v>
      </c>
      <c r="H5" s="16" t="s">
        <v>42</v>
      </c>
    </row>
    <row r="6" spans="1:8">
      <c r="B6" s="7" t="s">
        <v>6</v>
      </c>
      <c r="C6" s="24">
        <v>46023</v>
      </c>
      <c r="F6" s="23" t="s">
        <v>43</v>
      </c>
      <c r="G6" s="23" t="s">
        <v>46</v>
      </c>
      <c r="H6" s="17" t="s">
        <v>49</v>
      </c>
    </row>
    <row r="7" spans="1:8">
      <c r="B7" s="7" t="s">
        <v>7</v>
      </c>
      <c r="C7" s="25">
        <v>0.95</v>
      </c>
      <c r="F7" s="23" t="s">
        <v>44</v>
      </c>
      <c r="G7" s="23" t="s">
        <v>47</v>
      </c>
      <c r="H7" s="17" t="s">
        <v>50</v>
      </c>
    </row>
    <row r="8" spans="1:8">
      <c r="B8" s="7" t="s">
        <v>8</v>
      </c>
      <c r="C8" s="26">
        <f>MONTH(C5)-MONTH(C6)+12*(YEAR(C5)-YEAR(C6))+DAY(C5)/31</f>
        <v>9.64516129032258</v>
      </c>
      <c r="D8" s="27"/>
      <c r="F8" s="23" t="s">
        <v>45</v>
      </c>
      <c r="G8" s="23" t="s">
        <v>48</v>
      </c>
      <c r="H8" s="17" t="s">
        <v>51</v>
      </c>
    </row>
    <row r="9" spans="1:8">
      <c r="B9" s="7" t="s">
        <v>9</v>
      </c>
      <c r="C9" s="17">
        <f>SUM(C17:C22)</f>
        <v>6.0</v>
      </c>
    </row>
    <row r="11" spans="1:8">
      <c r="A11" s="3" t="s">
        <v>11</v>
      </c>
      <c r="B11" s="3" t="s">
        <v>12</v>
      </c>
      <c r="C11" s="3" t="s">
        <v>13</v>
      </c>
    </row>
    <row r="12" spans="1:8">
      <c r="A12" s="17" t="s">
        <v>14</v>
      </c>
      <c r="B12" s="23" t="s">
        <v>15</v>
      </c>
      <c r="C12" s="28">
        <v>2</v>
      </c>
    </row>
    <row r="13" spans="1:8">
      <c r="A13" s="17" t="s">
        <v>16</v>
      </c>
      <c r="B13" s="23" t="s">
        <v>17</v>
      </c>
      <c r="C13" s="28">
        <v>1</v>
      </c>
    </row>
    <row r="14" spans="1:8">
      <c r="A14" s="17" t="s">
        <v>18</v>
      </c>
      <c r="B14" s="23" t="s">
        <v>19</v>
      </c>
      <c r="C14" s="28">
        <v>0.5</v>
      </c>
    </row>
    <row r="15" spans="1:8">
      <c r="A15" s="27" t="s">
        <v>20</v>
      </c>
    </row>
    <row r="16" spans="1:8">
      <c r="A16" s="3" t="s">
        <v>21</v>
      </c>
      <c r="B16" s="3"/>
      <c r="C16" s="3"/>
    </row>
    <row r="17" spans="1:3">
      <c r="A17" s="17">
        <v>1</v>
      </c>
      <c r="B17" s="23" t="s">
        <v>22</v>
      </c>
      <c r="C17" s="17">
        <f>IF(B17="","",1)</f>
        <v>1.0</v>
      </c>
    </row>
    <row r="18" spans="1:3">
      <c r="A18" s="17">
        <v>2</v>
      </c>
      <c r="B18" s="23" t="s">
        <v>23</v>
      </c>
      <c r="C18" s="17">
        <f>IF(B18="","",1)</f>
        <v>1.0</v>
      </c>
    </row>
    <row r="19" spans="1:3">
      <c r="A19" s="17">
        <v>3</v>
      </c>
      <c r="B19" s="23" t="s">
        <v>24</v>
      </c>
      <c r="C19" s="17">
        <f>IF(B19="","",1)</f>
        <v>1.0</v>
      </c>
    </row>
    <row r="20" spans="1:3">
      <c r="A20" s="17">
        <v>4</v>
      </c>
      <c r="B20" s="23" t="s">
        <v>25</v>
      </c>
      <c r="C20" s="17">
        <f>IF(B20="","",1)</f>
        <v>1.0</v>
      </c>
    </row>
    <row r="21" spans="1:3">
      <c r="A21" s="17">
        <v>5</v>
      </c>
      <c r="B21" s="23" t="s">
        <v>26</v>
      </c>
      <c r="C21" s="17">
        <f>IF(B21="","",1)</f>
        <v>1.0</v>
      </c>
    </row>
    <row r="22" spans="1:3">
      <c r="A22" s="17">
        <v>6</v>
      </c>
      <c r="B22" s="23" t="s">
        <v>27</v>
      </c>
      <c r="C22" s="17">
        <f>IF(B22="","",1)</f>
        <v>1.0</v>
      </c>
    </row>
    <row r="24" spans="1:3">
      <c r="A24" s="3" t="s">
        <v>28</v>
      </c>
      <c r="B24" s="3"/>
      <c r="C24" s="3"/>
    </row>
    <row r="25" spans="1:3">
      <c r="A25" s="16" t="s">
        <v>29</v>
      </c>
      <c r="B25" s="16" t="s">
        <v>30</v>
      </c>
      <c r="C25" s="16" t="s">
        <v>31</v>
      </c>
    </row>
    <row r="26" spans="1:3">
      <c r="A26" s="17">
        <v>1</v>
      </c>
      <c r="B26" s="23" t="s">
        <v>32</v>
      </c>
      <c r="C26" s="28" t="s">
        <v>14</v>
      </c>
    </row>
    <row r="27" spans="1:3">
      <c r="A27" s="17">
        <v>2</v>
      </c>
      <c r="B27" s="23" t="s">
        <v>33</v>
      </c>
      <c r="C27" s="28" t="s">
        <v>14</v>
      </c>
    </row>
    <row r="28" spans="1:3">
      <c r="A28" s="17">
        <v>3</v>
      </c>
      <c r="B28" s="23" t="s">
        <v>34</v>
      </c>
      <c r="C28" s="28" t="s">
        <v>14</v>
      </c>
    </row>
    <row r="29" spans="1:3">
      <c r="A29" s="17">
        <v>4</v>
      </c>
      <c r="B29" s="23" t="s">
        <v>35</v>
      </c>
      <c r="C29" s="28" t="s">
        <v>16</v>
      </c>
    </row>
    <row r="30" spans="1:3">
      <c r="A30" s="17">
        <v>5</v>
      </c>
      <c r="B30" s="23" t="s">
        <v>36</v>
      </c>
      <c r="C30" s="28" t="s">
        <v>16</v>
      </c>
    </row>
    <row r="31" spans="1:3">
      <c r="A31" s="17">
        <v>6</v>
      </c>
      <c r="B31" s="23" t="s">
        <v>37</v>
      </c>
      <c r="C31" s="28" t="s">
        <v>18</v>
      </c>
    </row>
    <row r="32" spans="1:3">
      <c r="A32" s="17">
        <v>7</v>
      </c>
      <c r="B32" s="23" t="s">
        <v>38</v>
      </c>
      <c r="C32" s="28" t="s">
        <v>18</v>
      </c>
    </row>
    <row r="33" spans="1:3">
      <c r="A33" s="17">
        <v>8</v>
      </c>
      <c r="B33" s="23"/>
      <c r="C33" s="28"/>
    </row>
  </sheetData>
  <mergeCells count="2">
    <mergeCell ref="A1:H1"/>
    <mergeCell ref="A2:H2"/>
  </mergeCells>
  <dataValidations count="3">
    <dataValidation type="decimal" operator="greaterThanOrEqual" allowBlank="1" showInputMessage="1" showErrorMessage="1" error="Enter a number of audits per month, 0 or more." sqref="C12:C14">
      <formula1>0</formula1>
    </dataValidation>
    <dataValidation type="decimal" allowBlank="1" showInputMessage="1" showErrorMessage="1" error="Enter a percentage between 50% and 100%." sqref="C7">
      <formula1>0.5</formula1>
      <formula2>1</formula2>
    </dataValidation>
    <dataValidation type="list" allowBlank="1" showInputMessage="1" showErrorMessage="1" sqref="C26:C33">
      <formula1>$A$12:$A$14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0"/>
  <sheetViews>
    <sheetView workbookViewId="0">
      <pane ySplit="5" topLeftCell="A6" activePane="bottomLeft" state="frozen"/>
      <selection pane="bottomLeft"/>
    </sheetView>
  </sheetViews>
  <sheetFormatPr defaultRowHeight="15"/>
  <cols>
    <col min="1" max="1" width="5.7109375" customWidth="1"/>
    <col min="2" max="2" width="7.7109375" customWidth="1"/>
    <col min="3" max="3" width="30.7109375" customWidth="1"/>
    <col min="4" max="4" width="64.7109375" customWidth="1"/>
    <col min="5" max="5" width="44.7109375" customWidth="1"/>
    <col min="6" max="7" width="9.7109375" customWidth="1"/>
  </cols>
  <sheetData>
    <row r="1" spans="1:7" ht="33.75" customHeight="1">
      <c r="A1" s="1" t="s">
        <v>52</v>
      </c>
      <c r="B1" s="1"/>
      <c r="C1" s="1"/>
      <c r="D1" s="1"/>
      <c r="E1" s="1"/>
      <c r="F1" s="1"/>
      <c r="G1" s="1"/>
    </row>
    <row r="2" spans="1:7">
      <c r="A2" s="2" t="s">
        <v>53</v>
      </c>
      <c r="B2" s="2"/>
      <c r="C2" s="2"/>
      <c r="D2" s="2"/>
      <c r="E2" s="2"/>
      <c r="F2" s="2"/>
      <c r="G2" s="2"/>
    </row>
    <row r="3" spans="1:7">
      <c r="A3" s="27" t="s">
        <v>54</v>
      </c>
    </row>
    <row r="5" spans="1:7" ht="30" customHeight="1">
      <c r="A5" s="16" t="s">
        <v>29</v>
      </c>
      <c r="B5" s="16" t="s">
        <v>55</v>
      </c>
      <c r="C5" s="16" t="s">
        <v>56</v>
      </c>
      <c r="D5" s="16" t="s">
        <v>57</v>
      </c>
      <c r="E5" s="16" t="s">
        <v>58</v>
      </c>
      <c r="F5" s="16" t="s">
        <v>59</v>
      </c>
      <c r="G5" s="16" t="s">
        <v>60</v>
      </c>
    </row>
    <row r="6" spans="1:7" ht="32.25" customHeight="1">
      <c r="A6" s="17">
        <v>1</v>
      </c>
      <c r="B6" s="17" t="s">
        <v>61</v>
      </c>
      <c r="C6" s="29" t="s">
        <v>62</v>
      </c>
      <c r="D6" s="29" t="s">
        <v>63</v>
      </c>
      <c r="E6" s="29" t="s">
        <v>64</v>
      </c>
      <c r="F6" s="28" t="s">
        <v>59</v>
      </c>
      <c r="G6" s="17">
        <f>COUNTIF(Audit_Log!$G$6:$G$405,"NOK")</f>
        <v>8.0</v>
      </c>
    </row>
    <row r="7" spans="1:7" ht="32.25" customHeight="1">
      <c r="A7" s="17">
        <v>2</v>
      </c>
      <c r="B7" s="17" t="s">
        <v>65</v>
      </c>
      <c r="C7" s="29" t="s">
        <v>62</v>
      </c>
      <c r="D7" s="29" t="s">
        <v>66</v>
      </c>
      <c r="E7" s="29" t="s">
        <v>67</v>
      </c>
      <c r="F7" s="28" t="s">
        <v>59</v>
      </c>
      <c r="G7" s="17">
        <f>COUNTIF(Audit_Log!$H$6:$H$405,"NOK")</f>
        <v>6.0</v>
      </c>
    </row>
    <row r="8" spans="1:7" ht="32.25" customHeight="1">
      <c r="A8" s="17">
        <v>3</v>
      </c>
      <c r="B8" s="17" t="s">
        <v>68</v>
      </c>
      <c r="C8" s="29" t="s">
        <v>62</v>
      </c>
      <c r="D8" s="29" t="s">
        <v>69</v>
      </c>
      <c r="E8" s="29" t="s">
        <v>70</v>
      </c>
      <c r="F8" s="28" t="s">
        <v>59</v>
      </c>
      <c r="G8" s="17">
        <f>COUNTIF(Audit_Log!$I$6:$I$405,"NOK")</f>
        <v>10.0</v>
      </c>
    </row>
    <row r="9" spans="1:7" ht="32.25" customHeight="1">
      <c r="A9" s="17">
        <v>4</v>
      </c>
      <c r="B9" s="17" t="s">
        <v>71</v>
      </c>
      <c r="C9" s="29" t="s">
        <v>72</v>
      </c>
      <c r="D9" s="29" t="s">
        <v>73</v>
      </c>
      <c r="E9" s="29" t="s">
        <v>74</v>
      </c>
      <c r="F9" s="28" t="s">
        <v>59</v>
      </c>
      <c r="G9" s="17">
        <f>COUNTIF(Audit_Log!$J$6:$J$405,"NOK")</f>
        <v>5.0</v>
      </c>
    </row>
    <row r="10" spans="1:7" ht="32.25" customHeight="1">
      <c r="A10" s="17">
        <v>5</v>
      </c>
      <c r="B10" s="17" t="s">
        <v>75</v>
      </c>
      <c r="C10" s="29" t="s">
        <v>76</v>
      </c>
      <c r="D10" s="29" t="s">
        <v>77</v>
      </c>
      <c r="E10" s="29" t="s">
        <v>78</v>
      </c>
      <c r="F10" s="28" t="s">
        <v>59</v>
      </c>
      <c r="G10" s="17">
        <f>COUNTIF(Audit_Log!$K$6:$K$405,"NOK")</f>
        <v>4.0</v>
      </c>
    </row>
    <row r="11" spans="1:7" ht="32.25" customHeight="1">
      <c r="A11" s="17">
        <v>6</v>
      </c>
      <c r="B11" s="17" t="s">
        <v>79</v>
      </c>
      <c r="C11" s="29" t="s">
        <v>80</v>
      </c>
      <c r="D11" s="29" t="s">
        <v>81</v>
      </c>
      <c r="E11" s="29" t="s">
        <v>82</v>
      </c>
      <c r="F11" s="28" t="s">
        <v>59</v>
      </c>
      <c r="G11" s="17">
        <f>COUNTIF(Audit_Log!$L$6:$L$405,"NOK")</f>
        <v>9.0</v>
      </c>
    </row>
    <row r="12" spans="1:7" ht="32.25" customHeight="1">
      <c r="A12" s="17">
        <v>7</v>
      </c>
      <c r="B12" s="17" t="s">
        <v>83</v>
      </c>
      <c r="C12" s="29" t="s">
        <v>80</v>
      </c>
      <c r="D12" s="29" t="s">
        <v>84</v>
      </c>
      <c r="E12" s="29" t="s">
        <v>85</v>
      </c>
      <c r="F12" s="28" t="s">
        <v>59</v>
      </c>
      <c r="G12" s="17">
        <f>COUNTIF(Audit_Log!$M$6:$M$405,"NOK")</f>
        <v>7.0</v>
      </c>
    </row>
    <row r="13" spans="1:7" ht="32.25" customHeight="1">
      <c r="A13" s="17">
        <v>8</v>
      </c>
      <c r="B13" s="17" t="s">
        <v>86</v>
      </c>
      <c r="C13" s="29" t="s">
        <v>87</v>
      </c>
      <c r="D13" s="29" t="s">
        <v>88</v>
      </c>
      <c r="E13" s="29" t="s">
        <v>89</v>
      </c>
      <c r="F13" s="28" t="s">
        <v>59</v>
      </c>
      <c r="G13" s="17">
        <f>COUNTIF(Audit_Log!$N$6:$N$405,"NOK")</f>
        <v>11.0</v>
      </c>
    </row>
    <row r="14" spans="1:7" ht="32.25" customHeight="1">
      <c r="A14" s="17">
        <v>9</v>
      </c>
      <c r="B14" s="17" t="s">
        <v>90</v>
      </c>
      <c r="C14" s="29" t="s">
        <v>87</v>
      </c>
      <c r="D14" s="29" t="s">
        <v>91</v>
      </c>
      <c r="E14" s="29" t="s">
        <v>92</v>
      </c>
      <c r="F14" s="28" t="s">
        <v>59</v>
      </c>
      <c r="G14" s="17">
        <f>COUNTIF(Audit_Log!$O$6:$O$405,"NOK")</f>
        <v>3.0</v>
      </c>
    </row>
    <row r="15" spans="1:7" ht="32.25" customHeight="1">
      <c r="A15" s="17">
        <v>10</v>
      </c>
      <c r="B15" s="17" t="s">
        <v>93</v>
      </c>
      <c r="C15" s="29" t="s">
        <v>94</v>
      </c>
      <c r="D15" s="29" t="s">
        <v>95</v>
      </c>
      <c r="E15" s="29" t="s">
        <v>96</v>
      </c>
      <c r="F15" s="28" t="s">
        <v>59</v>
      </c>
      <c r="G15" s="17">
        <f>COUNTIF(Audit_Log!$P$6:$P$405,"NOK")</f>
        <v>6.0</v>
      </c>
    </row>
    <row r="16" spans="1:7" ht="32.25" customHeight="1">
      <c r="A16" s="17">
        <v>11</v>
      </c>
      <c r="B16" s="17" t="s">
        <v>97</v>
      </c>
      <c r="C16" s="29" t="s">
        <v>98</v>
      </c>
      <c r="D16" s="29" t="s">
        <v>99</v>
      </c>
      <c r="E16" s="29" t="s">
        <v>100</v>
      </c>
      <c r="F16" s="28"/>
      <c r="G16" s="17">
        <f>COUNTIF(Audit_Log!$Q$6:$Q$405,"NOK")</f>
        <v>5.0</v>
      </c>
    </row>
    <row r="17" spans="1:7" ht="32.25" customHeight="1">
      <c r="A17" s="17">
        <v>12</v>
      </c>
      <c r="B17" s="17" t="s">
        <v>101</v>
      </c>
      <c r="C17" s="29" t="s">
        <v>98</v>
      </c>
      <c r="D17" s="29" t="s">
        <v>102</v>
      </c>
      <c r="E17" s="29" t="s">
        <v>103</v>
      </c>
      <c r="F17" s="28"/>
      <c r="G17" s="17">
        <f>COUNTIF(Audit_Log!$R$6:$R$405,"NOK")</f>
        <v>3.0</v>
      </c>
    </row>
    <row r="18" spans="1:7" ht="32.25" customHeight="1">
      <c r="A18" s="17">
        <v>13</v>
      </c>
      <c r="B18" s="17" t="s">
        <v>104</v>
      </c>
      <c r="C18" s="29" t="s">
        <v>105</v>
      </c>
      <c r="D18" s="29" t="s">
        <v>106</v>
      </c>
      <c r="E18" s="29" t="s">
        <v>107</v>
      </c>
      <c r="F18" s="28" t="s">
        <v>59</v>
      </c>
      <c r="G18" s="17">
        <f>COUNTIF(Audit_Log!$S$6:$S$405,"NOK")</f>
        <v>2.0</v>
      </c>
    </row>
    <row r="19" spans="1:7" ht="32.25" customHeight="1">
      <c r="A19" s="17">
        <v>14</v>
      </c>
      <c r="B19" s="17" t="s">
        <v>108</v>
      </c>
      <c r="C19" s="29" t="s">
        <v>109</v>
      </c>
      <c r="D19" s="29" t="s">
        <v>110</v>
      </c>
      <c r="E19" s="29" t="s">
        <v>111</v>
      </c>
      <c r="F19" s="28" t="s">
        <v>59</v>
      </c>
      <c r="G19" s="17">
        <f>COUNTIF(Audit_Log!$T$6:$T$405,"NOK")</f>
        <v>8.0</v>
      </c>
    </row>
    <row r="20" spans="1:7" ht="32.25" customHeight="1">
      <c r="A20" s="17">
        <v>15</v>
      </c>
      <c r="B20" s="17" t="s">
        <v>112</v>
      </c>
      <c r="C20" s="29" t="s">
        <v>113</v>
      </c>
      <c r="D20" s="29" t="s">
        <v>114</v>
      </c>
      <c r="E20" s="29" t="s">
        <v>115</v>
      </c>
      <c r="F20" s="28"/>
      <c r="G20" s="17">
        <f>COUNTIF(Audit_Log!$U$6:$U$405,"NOK")</f>
        <v>6.0</v>
      </c>
    </row>
  </sheetData>
  <mergeCells count="2">
    <mergeCell ref="A1:G1"/>
    <mergeCell ref="A2:G2"/>
  </mergeCells>
  <conditionalFormatting sqref="F6:F20">
    <cfRule type="cellIs" dxfId="0" priority="1" operator="equal">
      <formula>"KEY"</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Z405"/>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9.7109375" customWidth="1"/>
    <col min="2" max="2" width="11.7109375" customWidth="1"/>
    <col min="3" max="3" width="17.7109375" customWidth="1"/>
    <col min="4" max="4" width="7.7109375" customWidth="1"/>
    <col min="5" max="5" width="13.7109375" customWidth="1"/>
    <col min="6" max="6" width="10.7109375" customWidth="1"/>
    <col min="7" max="21" width="6.140625" customWidth="1"/>
    <col min="22" max="24" width="8.7109375" customWidth="1"/>
    <col min="25" max="25" width="9.7109375" customWidth="1"/>
    <col min="26" max="26" width="14.7109375" customWidth="1"/>
  </cols>
  <sheetData>
    <row r="1" spans="1:26" ht="33.75" customHeight="1">
      <c r="A1" s="1" t="s">
        <v>116</v>
      </c>
      <c r="B1" s="1"/>
      <c r="C1" s="1"/>
      <c r="D1" s="1"/>
      <c r="E1" s="1"/>
      <c r="F1" s="1"/>
      <c r="G1" s="1"/>
      <c r="H1" s="1"/>
      <c r="I1" s="1"/>
      <c r="J1" s="1"/>
      <c r="K1" s="1"/>
      <c r="L1" s="1"/>
      <c r="M1" s="1"/>
      <c r="N1" s="1"/>
      <c r="O1" s="1"/>
      <c r="P1" s="1"/>
      <c r="Q1" s="1"/>
      <c r="R1" s="1"/>
      <c r="S1" s="1"/>
      <c r="T1" s="1"/>
      <c r="U1" s="1"/>
      <c r="V1" s="1"/>
      <c r="W1" s="1"/>
      <c r="X1" s="1"/>
      <c r="Y1" s="1"/>
      <c r="Z1" s="1"/>
    </row>
    <row r="2" spans="1:26">
      <c r="A2" s="2" t="s">
        <v>117</v>
      </c>
      <c r="B2" s="2"/>
      <c r="C2" s="2"/>
      <c r="D2" s="2"/>
      <c r="E2" s="2"/>
      <c r="F2" s="2"/>
      <c r="G2" s="2"/>
      <c r="H2" s="2"/>
      <c r="I2" s="2"/>
      <c r="J2" s="2"/>
      <c r="K2" s="2"/>
      <c r="L2" s="2"/>
      <c r="M2" s="2"/>
      <c r="N2" s="2"/>
      <c r="O2" s="2"/>
      <c r="P2" s="2"/>
      <c r="Q2" s="2"/>
      <c r="R2" s="2"/>
      <c r="S2" s="2"/>
      <c r="T2" s="2"/>
      <c r="U2" s="2"/>
      <c r="V2" s="2"/>
      <c r="W2" s="2"/>
      <c r="X2" s="2"/>
      <c r="Y2" s="2"/>
      <c r="Z2" s="2"/>
    </row>
    <row r="3" spans="1:26">
      <c r="A3" s="27" t="s">
        <v>118</v>
      </c>
    </row>
    <row r="5" spans="1:26" ht="27.75" customHeight="1">
      <c r="A5" s="16" t="s">
        <v>119</v>
      </c>
      <c r="B5" s="16" t="s">
        <v>120</v>
      </c>
      <c r="C5" s="16" t="s">
        <v>121</v>
      </c>
      <c r="D5" s="16" t="s">
        <v>31</v>
      </c>
      <c r="E5" s="16" t="s">
        <v>122</v>
      </c>
      <c r="F5" s="16" t="s">
        <v>40</v>
      </c>
      <c r="G5" s="16" t="s">
        <v>61</v>
      </c>
      <c r="H5" s="16" t="s">
        <v>65</v>
      </c>
      <c r="I5" s="16" t="s">
        <v>68</v>
      </c>
      <c r="J5" s="16" t="s">
        <v>71</v>
      </c>
      <c r="K5" s="16" t="s">
        <v>75</v>
      </c>
      <c r="L5" s="16" t="s">
        <v>79</v>
      </c>
      <c r="M5" s="16" t="s">
        <v>83</v>
      </c>
      <c r="N5" s="16" t="s">
        <v>86</v>
      </c>
      <c r="O5" s="16" t="s">
        <v>90</v>
      </c>
      <c r="P5" s="16" t="s">
        <v>93</v>
      </c>
      <c r="Q5" s="16" t="s">
        <v>97</v>
      </c>
      <c r="R5" s="16" t="s">
        <v>101</v>
      </c>
      <c r="S5" s="16" t="s">
        <v>104</v>
      </c>
      <c r="T5" s="16" t="s">
        <v>108</v>
      </c>
      <c r="U5" s="16" t="s">
        <v>112</v>
      </c>
      <c r="V5" s="16" t="s">
        <v>49</v>
      </c>
      <c r="W5" s="16" t="s">
        <v>50</v>
      </c>
      <c r="X5" s="16" t="s">
        <v>123</v>
      </c>
      <c r="Y5" s="16" t="s">
        <v>124</v>
      </c>
      <c r="Z5" s="16" t="s">
        <v>125</v>
      </c>
    </row>
    <row r="6" spans="1:26">
      <c r="A6" s="17" t="str">
        <f>IF($B6="","","A-1001")</f>
        <v>A-1001</v>
      </c>
      <c r="B6" s="24">
        <v>46024</v>
      </c>
      <c r="C6" s="23" t="s">
        <v>27</v>
      </c>
      <c r="D6" s="28" t="s">
        <v>16</v>
      </c>
      <c r="E6" s="23" t="s">
        <v>36</v>
      </c>
      <c r="F6" s="23" t="s">
        <v>43</v>
      </c>
      <c r="G6" s="28" t="s">
        <v>49</v>
      </c>
      <c r="H6" s="28" t="s">
        <v>49</v>
      </c>
      <c r="I6" s="28" t="s">
        <v>49</v>
      </c>
      <c r="J6" s="28" t="s">
        <v>51</v>
      </c>
      <c r="K6" s="28" t="s">
        <v>49</v>
      </c>
      <c r="L6" s="28" t="s">
        <v>49</v>
      </c>
      <c r="M6" s="28" t="s">
        <v>49</v>
      </c>
      <c r="N6" s="28" t="s">
        <v>49</v>
      </c>
      <c r="O6" s="28" t="s">
        <v>49</v>
      </c>
      <c r="P6" s="28" t="s">
        <v>49</v>
      </c>
      <c r="Q6" s="28" t="s">
        <v>49</v>
      </c>
      <c r="R6" s="28" t="s">
        <v>49</v>
      </c>
      <c r="S6" s="28" t="s">
        <v>49</v>
      </c>
      <c r="T6" s="28" t="s">
        <v>49</v>
      </c>
      <c r="U6" s="28" t="s">
        <v>49</v>
      </c>
      <c r="V6" s="17">
        <f>IF($B6="","",COUNTIF(G6:U6,"OK"))</f>
        <v>14.0</v>
      </c>
      <c r="W6" s="17">
        <f>IF($B6="","",COUNTIF(G6:U6,"NOK"))</f>
        <v>0.0</v>
      </c>
      <c r="X6" s="9">
        <f>IF($B6="","",IF(V6+W6=0,"",V6/(V6+W6)))</f>
        <v>1.0</v>
      </c>
      <c r="Y6" s="17" t="str">
        <f>IF(X6="","",IF(X6&gt;=Setup!$C$7,"PASS","FAIL"))</f>
        <v>PASS</v>
      </c>
      <c r="Z6" s="17">
        <f>IF($B6="","",IF(W6=0,"",IF(COUNTIF(Findings!$B$6:$B$305,$A6)&gt;=W6,"OK","LOG FINDING")))</f>
        <v/>
      </c>
    </row>
    <row r="7" spans="1:26">
      <c r="A7" s="17" t="str">
        <f>IF($B7="","","A-1002")</f>
        <v>A-1002</v>
      </c>
      <c r="B7" s="24">
        <v>46027</v>
      </c>
      <c r="C7" s="23" t="s">
        <v>26</v>
      </c>
      <c r="D7" s="28" t="s">
        <v>14</v>
      </c>
      <c r="E7" s="23" t="s">
        <v>32</v>
      </c>
      <c r="F7" s="23" t="s">
        <v>43</v>
      </c>
      <c r="G7" s="28" t="s">
        <v>49</v>
      </c>
      <c r="H7" s="28" t="s">
        <v>49</v>
      </c>
      <c r="I7" s="28" t="s">
        <v>49</v>
      </c>
      <c r="J7" s="28" t="s">
        <v>49</v>
      </c>
      <c r="K7" s="28" t="s">
        <v>49</v>
      </c>
      <c r="L7" s="28" t="s">
        <v>49</v>
      </c>
      <c r="M7" s="28" t="s">
        <v>49</v>
      </c>
      <c r="N7" s="28" t="s">
        <v>49</v>
      </c>
      <c r="O7" s="28" t="s">
        <v>49</v>
      </c>
      <c r="P7" s="28" t="s">
        <v>49</v>
      </c>
      <c r="Q7" s="28" t="s">
        <v>49</v>
      </c>
      <c r="R7" s="28" t="s">
        <v>49</v>
      </c>
      <c r="S7" s="28" t="s">
        <v>49</v>
      </c>
      <c r="T7" s="28" t="s">
        <v>49</v>
      </c>
      <c r="U7" s="28" t="s">
        <v>49</v>
      </c>
      <c r="V7" s="17">
        <f>IF($B7="","",COUNTIF(G7:U7,"OK"))</f>
        <v>15.0</v>
      </c>
      <c r="W7" s="17">
        <f>IF($B7="","",COUNTIF(G7:U7,"NOK"))</f>
        <v>0.0</v>
      </c>
      <c r="X7" s="9">
        <f>IF($B7="","",IF(V7+W7=0,"",V7/(V7+W7)))</f>
        <v>1.0</v>
      </c>
      <c r="Y7" s="17" t="str">
        <f>IF(X7="","",IF(X7&gt;=Setup!$C$7,"PASS","FAIL"))</f>
        <v>PASS</v>
      </c>
      <c r="Z7" s="17">
        <f>IF($B7="","",IF(W7=0,"",IF(COUNTIF(Findings!$B$6:$B$305,$A7)&gt;=W7,"OK","LOG FINDING")))</f>
        <v/>
      </c>
    </row>
    <row r="8" spans="1:26">
      <c r="A8" s="17" t="str">
        <f>IF($B8="","","A-1003")</f>
        <v>A-1003</v>
      </c>
      <c r="B8" s="24">
        <v>46028</v>
      </c>
      <c r="C8" s="23" t="s">
        <v>27</v>
      </c>
      <c r="D8" s="28" t="s">
        <v>14</v>
      </c>
      <c r="E8" s="23" t="s">
        <v>34</v>
      </c>
      <c r="F8" s="23" t="s">
        <v>44</v>
      </c>
      <c r="G8" s="28" t="s">
        <v>50</v>
      </c>
      <c r="H8" s="28" t="s">
        <v>49</v>
      </c>
      <c r="I8" s="28" t="s">
        <v>49</v>
      </c>
      <c r="J8" s="28" t="s">
        <v>49</v>
      </c>
      <c r="K8" s="28" t="s">
        <v>49</v>
      </c>
      <c r="L8" s="28" t="s">
        <v>50</v>
      </c>
      <c r="M8" s="28" t="s">
        <v>49</v>
      </c>
      <c r="N8" s="28" t="s">
        <v>49</v>
      </c>
      <c r="O8" s="28" t="s">
        <v>49</v>
      </c>
      <c r="P8" s="28" t="s">
        <v>49</v>
      </c>
      <c r="Q8" s="28" t="s">
        <v>49</v>
      </c>
      <c r="R8" s="28" t="s">
        <v>49</v>
      </c>
      <c r="S8" s="28" t="s">
        <v>49</v>
      </c>
      <c r="T8" s="28" t="s">
        <v>49</v>
      </c>
      <c r="U8" s="28" t="s">
        <v>49</v>
      </c>
      <c r="V8" s="17">
        <f>IF($B8="","",COUNTIF(G8:U8,"OK"))</f>
        <v>13.0</v>
      </c>
      <c r="W8" s="17">
        <f>IF($B8="","",COUNTIF(G8:U8,"NOK"))</f>
        <v>2.0</v>
      </c>
      <c r="X8" s="9">
        <f>IF($B8="","",IF(V8+W8=0,"",V8/(V8+W8)))</f>
        <v>0.8666666666666667</v>
      </c>
      <c r="Y8" s="17" t="str">
        <f>IF(X8="","",IF(X8&gt;=Setup!$C$7,"PASS","FAIL"))</f>
        <v>FAIL</v>
      </c>
      <c r="Z8" s="17" t="str">
        <f>IF($B8="","",IF(W8=0,"",IF(COUNTIF(Findings!$B$6:$B$305,$A8)&gt;=W8,"OK","LOG FINDING")))</f>
        <v>OK</v>
      </c>
    </row>
    <row r="9" spans="1:26">
      <c r="A9" s="17" t="str">
        <f>IF($B9="","","A-1004")</f>
        <v>A-1004</v>
      </c>
      <c r="B9" s="24">
        <v>46029</v>
      </c>
      <c r="C9" s="23" t="s">
        <v>24</v>
      </c>
      <c r="D9" s="28" t="s">
        <v>14</v>
      </c>
      <c r="E9" s="23" t="s">
        <v>34</v>
      </c>
      <c r="F9" s="23" t="s">
        <v>43</v>
      </c>
      <c r="G9" s="28" t="s">
        <v>49</v>
      </c>
      <c r="H9" s="28" t="s">
        <v>49</v>
      </c>
      <c r="I9" s="28" t="s">
        <v>50</v>
      </c>
      <c r="J9" s="28" t="s">
        <v>49</v>
      </c>
      <c r="K9" s="28" t="s">
        <v>49</v>
      </c>
      <c r="L9" s="28" t="s">
        <v>49</v>
      </c>
      <c r="M9" s="28" t="s">
        <v>49</v>
      </c>
      <c r="N9" s="28" t="s">
        <v>49</v>
      </c>
      <c r="O9" s="28" t="s">
        <v>49</v>
      </c>
      <c r="P9" s="28" t="s">
        <v>50</v>
      </c>
      <c r="Q9" s="28" t="s">
        <v>49</v>
      </c>
      <c r="R9" s="28" t="s">
        <v>49</v>
      </c>
      <c r="S9" s="28" t="s">
        <v>49</v>
      </c>
      <c r="T9" s="28" t="s">
        <v>49</v>
      </c>
      <c r="U9" s="28" t="s">
        <v>49</v>
      </c>
      <c r="V9" s="17">
        <f>IF($B9="","",COUNTIF(G9:U9,"OK"))</f>
        <v>13.0</v>
      </c>
      <c r="W9" s="17">
        <f>IF($B9="","",COUNTIF(G9:U9,"NOK"))</f>
        <v>2.0</v>
      </c>
      <c r="X9" s="9">
        <f>IF($B9="","",IF(V9+W9=0,"",V9/(V9+W9)))</f>
        <v>0.8666666666666667</v>
      </c>
      <c r="Y9" s="17" t="str">
        <f>IF(X9="","",IF(X9&gt;=Setup!$C$7,"PASS","FAIL"))</f>
        <v>FAIL</v>
      </c>
      <c r="Z9" s="17" t="str">
        <f>IF($B9="","",IF(W9=0,"",IF(COUNTIF(Findings!$B$6:$B$305,$A9)&gt;=W9,"OK","LOG FINDING")))</f>
        <v>OK</v>
      </c>
    </row>
    <row r="10" spans="1:26">
      <c r="A10" s="17" t="str">
        <f>IF($B10="","","A-1005")</f>
        <v>A-1005</v>
      </c>
      <c r="B10" s="24">
        <v>46034</v>
      </c>
      <c r="C10" s="23" t="s">
        <v>23</v>
      </c>
      <c r="D10" s="28" t="s">
        <v>14</v>
      </c>
      <c r="E10" s="23" t="s">
        <v>34</v>
      </c>
      <c r="F10" s="23" t="s">
        <v>44</v>
      </c>
      <c r="G10" s="28" t="s">
        <v>49</v>
      </c>
      <c r="H10" s="28" t="s">
        <v>49</v>
      </c>
      <c r="I10" s="28" t="s">
        <v>49</v>
      </c>
      <c r="J10" s="28" t="s">
        <v>51</v>
      </c>
      <c r="K10" s="28" t="s">
        <v>49</v>
      </c>
      <c r="L10" s="28" t="s">
        <v>49</v>
      </c>
      <c r="M10" s="28" t="s">
        <v>49</v>
      </c>
      <c r="N10" s="28" t="s">
        <v>49</v>
      </c>
      <c r="O10" s="28" t="s">
        <v>49</v>
      </c>
      <c r="P10" s="28" t="s">
        <v>49</v>
      </c>
      <c r="Q10" s="28" t="s">
        <v>49</v>
      </c>
      <c r="R10" s="28" t="s">
        <v>49</v>
      </c>
      <c r="S10" s="28" t="s">
        <v>49</v>
      </c>
      <c r="T10" s="28" t="s">
        <v>49</v>
      </c>
      <c r="U10" s="28" t="s">
        <v>49</v>
      </c>
      <c r="V10" s="17">
        <f>IF($B10="","",COUNTIF(G10:U10,"OK"))</f>
        <v>14.0</v>
      </c>
      <c r="W10" s="17">
        <f>IF($B10="","",COUNTIF(G10:U10,"NOK"))</f>
        <v>0.0</v>
      </c>
      <c r="X10" s="9">
        <f>IF($B10="","",IF(V10+W10=0,"",V10/(V10+W10)))</f>
        <v>1.0</v>
      </c>
      <c r="Y10" s="17" t="str">
        <f>IF(X10="","",IF(X10&gt;=Setup!$C$7,"PASS","FAIL"))</f>
        <v>PASS</v>
      </c>
      <c r="Z10" s="17">
        <f>IF($B10="","",IF(W10=0,"",IF(COUNTIF(Findings!$B$6:$B$305,$A10)&gt;=W10,"OK","LOG FINDING")))</f>
        <v/>
      </c>
    </row>
    <row r="11" spans="1:26">
      <c r="A11" s="17" t="str">
        <f>IF($B11="","","A-1006")</f>
        <v>A-1006</v>
      </c>
      <c r="B11" s="24">
        <v>46034</v>
      </c>
      <c r="C11" s="23" t="s">
        <v>27</v>
      </c>
      <c r="D11" s="28" t="s">
        <v>18</v>
      </c>
      <c r="E11" s="23" t="s">
        <v>38</v>
      </c>
      <c r="F11" s="23" t="s">
        <v>44</v>
      </c>
      <c r="G11" s="28" t="s">
        <v>49</v>
      </c>
      <c r="H11" s="28" t="s">
        <v>49</v>
      </c>
      <c r="I11" s="28" t="s">
        <v>49</v>
      </c>
      <c r="J11" s="28" t="s">
        <v>49</v>
      </c>
      <c r="K11" s="28" t="s">
        <v>49</v>
      </c>
      <c r="L11" s="28" t="s">
        <v>49</v>
      </c>
      <c r="M11" s="28" t="s">
        <v>49</v>
      </c>
      <c r="N11" s="28" t="s">
        <v>49</v>
      </c>
      <c r="O11" s="28" t="s">
        <v>49</v>
      </c>
      <c r="P11" s="28" t="s">
        <v>49</v>
      </c>
      <c r="Q11" s="28" t="s">
        <v>51</v>
      </c>
      <c r="R11" s="28" t="s">
        <v>49</v>
      </c>
      <c r="S11" s="28" t="s">
        <v>49</v>
      </c>
      <c r="T11" s="28" t="s">
        <v>49</v>
      </c>
      <c r="U11" s="28" t="s">
        <v>49</v>
      </c>
      <c r="V11" s="17">
        <f>IF($B11="","",COUNTIF(G11:U11,"OK"))</f>
        <v>14.0</v>
      </c>
      <c r="W11" s="17">
        <f>IF($B11="","",COUNTIF(G11:U11,"NOK"))</f>
        <v>0.0</v>
      </c>
      <c r="X11" s="9">
        <f>IF($B11="","",IF(V11+W11=0,"",V11/(V11+W11)))</f>
        <v>1.0</v>
      </c>
      <c r="Y11" s="17" t="str">
        <f>IF(X11="","",IF(X11&gt;=Setup!$C$7,"PASS","FAIL"))</f>
        <v>PASS</v>
      </c>
      <c r="Z11" s="17">
        <f>IF($B11="","",IF(W11=0,"",IF(COUNTIF(Findings!$B$6:$B$305,$A11)&gt;=W11,"OK","LOG FINDING")))</f>
        <v/>
      </c>
    </row>
    <row r="12" spans="1:26">
      <c r="A12" s="17" t="str">
        <f>IF($B12="","","A-1007")</f>
        <v>A-1007</v>
      </c>
      <c r="B12" s="24">
        <v>46036</v>
      </c>
      <c r="C12" s="23" t="s">
        <v>25</v>
      </c>
      <c r="D12" s="28" t="s">
        <v>18</v>
      </c>
      <c r="E12" s="23" t="s">
        <v>37</v>
      </c>
      <c r="F12" s="23" t="s">
        <v>43</v>
      </c>
      <c r="G12" s="28" t="s">
        <v>49</v>
      </c>
      <c r="H12" s="28" t="s">
        <v>49</v>
      </c>
      <c r="I12" s="28" t="s">
        <v>49</v>
      </c>
      <c r="J12" s="28" t="s">
        <v>49</v>
      </c>
      <c r="K12" s="28" t="s">
        <v>49</v>
      </c>
      <c r="L12" s="28" t="s">
        <v>49</v>
      </c>
      <c r="M12" s="28" t="s">
        <v>49</v>
      </c>
      <c r="N12" s="28" t="s">
        <v>49</v>
      </c>
      <c r="O12" s="28" t="s">
        <v>49</v>
      </c>
      <c r="P12" s="28" t="s">
        <v>49</v>
      </c>
      <c r="Q12" s="28" t="s">
        <v>49</v>
      </c>
      <c r="R12" s="28" t="s">
        <v>49</v>
      </c>
      <c r="S12" s="28" t="s">
        <v>49</v>
      </c>
      <c r="T12" s="28" t="s">
        <v>49</v>
      </c>
      <c r="U12" s="28" t="s">
        <v>49</v>
      </c>
      <c r="V12" s="17">
        <f>IF($B12="","",COUNTIF(G12:U12,"OK"))</f>
        <v>15.0</v>
      </c>
      <c r="W12" s="17">
        <f>IF($B12="","",COUNTIF(G12:U12,"NOK"))</f>
        <v>0.0</v>
      </c>
      <c r="X12" s="9">
        <f>IF($B12="","",IF(V12+W12=0,"",V12/(V12+W12)))</f>
        <v>1.0</v>
      </c>
      <c r="Y12" s="17" t="str">
        <f>IF(X12="","",IF(X12&gt;=Setup!$C$7,"PASS","FAIL"))</f>
        <v>PASS</v>
      </c>
      <c r="Z12" s="17">
        <f>IF($B12="","",IF(W12=0,"",IF(COUNTIF(Findings!$B$6:$B$305,$A12)&gt;=W12,"OK","LOG FINDING")))</f>
        <v/>
      </c>
    </row>
    <row r="13" spans="1:26">
      <c r="A13" s="17" t="str">
        <f>IF($B13="","","A-1008")</f>
        <v>A-1008</v>
      </c>
      <c r="B13" s="24">
        <v>46041</v>
      </c>
      <c r="C13" s="23" t="s">
        <v>24</v>
      </c>
      <c r="D13" s="28" t="s">
        <v>16</v>
      </c>
      <c r="E13" s="23" t="s">
        <v>36</v>
      </c>
      <c r="F13" s="23" t="s">
        <v>43</v>
      </c>
      <c r="G13" s="28" t="s">
        <v>49</v>
      </c>
      <c r="H13" s="28" t="s">
        <v>49</v>
      </c>
      <c r="I13" s="28" t="s">
        <v>49</v>
      </c>
      <c r="J13" s="28" t="s">
        <v>49</v>
      </c>
      <c r="K13" s="28" t="s">
        <v>49</v>
      </c>
      <c r="L13" s="28" t="s">
        <v>49</v>
      </c>
      <c r="M13" s="28" t="s">
        <v>49</v>
      </c>
      <c r="N13" s="28" t="s">
        <v>49</v>
      </c>
      <c r="O13" s="28" t="s">
        <v>49</v>
      </c>
      <c r="P13" s="28" t="s">
        <v>49</v>
      </c>
      <c r="Q13" s="28" t="s">
        <v>49</v>
      </c>
      <c r="R13" s="28" t="s">
        <v>49</v>
      </c>
      <c r="S13" s="28" t="s">
        <v>49</v>
      </c>
      <c r="T13" s="28" t="s">
        <v>49</v>
      </c>
      <c r="U13" s="28" t="s">
        <v>49</v>
      </c>
      <c r="V13" s="17">
        <f>IF($B13="","",COUNTIF(G13:U13,"OK"))</f>
        <v>15.0</v>
      </c>
      <c r="W13" s="17">
        <f>IF($B13="","",COUNTIF(G13:U13,"NOK"))</f>
        <v>0.0</v>
      </c>
      <c r="X13" s="9">
        <f>IF($B13="","",IF(V13+W13=0,"",V13/(V13+W13)))</f>
        <v>1.0</v>
      </c>
      <c r="Y13" s="17" t="str">
        <f>IF(X13="","",IF(X13&gt;=Setup!$C$7,"PASS","FAIL"))</f>
        <v>PASS</v>
      </c>
      <c r="Z13" s="17">
        <f>IF($B13="","",IF(W13=0,"",IF(COUNTIF(Findings!$B$6:$B$305,$A13)&gt;=W13,"OK","LOG FINDING")))</f>
        <v/>
      </c>
    </row>
    <row r="14" spans="1:26">
      <c r="A14" s="17" t="str">
        <f>IF($B14="","","A-1009")</f>
        <v>A-1009</v>
      </c>
      <c r="B14" s="24">
        <v>46041</v>
      </c>
      <c r="C14" s="23" t="s">
        <v>27</v>
      </c>
      <c r="D14" s="28" t="s">
        <v>14</v>
      </c>
      <c r="E14" s="23" t="s">
        <v>32</v>
      </c>
      <c r="F14" s="23" t="s">
        <v>43</v>
      </c>
      <c r="G14" s="28" t="s">
        <v>49</v>
      </c>
      <c r="H14" s="28" t="s">
        <v>50</v>
      </c>
      <c r="I14" s="28" t="s">
        <v>49</v>
      </c>
      <c r="J14" s="28" t="s">
        <v>51</v>
      </c>
      <c r="K14" s="28" t="s">
        <v>49</v>
      </c>
      <c r="L14" s="28" t="s">
        <v>49</v>
      </c>
      <c r="M14" s="28" t="s">
        <v>49</v>
      </c>
      <c r="N14" s="28" t="s">
        <v>49</v>
      </c>
      <c r="O14" s="28" t="s">
        <v>49</v>
      </c>
      <c r="P14" s="28" t="s">
        <v>49</v>
      </c>
      <c r="Q14" s="28" t="s">
        <v>49</v>
      </c>
      <c r="R14" s="28" t="s">
        <v>49</v>
      </c>
      <c r="S14" s="28" t="s">
        <v>49</v>
      </c>
      <c r="T14" s="28" t="s">
        <v>49</v>
      </c>
      <c r="U14" s="28" t="s">
        <v>49</v>
      </c>
      <c r="V14" s="17">
        <f>IF($B14="","",COUNTIF(G14:U14,"OK"))</f>
        <v>13.0</v>
      </c>
      <c r="W14" s="17">
        <f>IF($B14="","",COUNTIF(G14:U14,"NOK"))</f>
        <v>1.0</v>
      </c>
      <c r="X14" s="9">
        <f>IF($B14="","",IF(V14+W14=0,"",V14/(V14+W14)))</f>
        <v>0.9285714285714286</v>
      </c>
      <c r="Y14" s="17" t="str">
        <f>IF(X14="","",IF(X14&gt;=Setup!$C$7,"PASS","FAIL"))</f>
        <v>FAIL</v>
      </c>
      <c r="Z14" s="17" t="str">
        <f>IF($B14="","",IF(W14=0,"",IF(COUNTIF(Findings!$B$6:$B$305,$A14)&gt;=W14,"OK","LOG FINDING")))</f>
        <v>OK</v>
      </c>
    </row>
    <row r="15" spans="1:26">
      <c r="A15" s="17" t="str">
        <f>IF($B15="","","A-1010")</f>
        <v>A-1010</v>
      </c>
      <c r="B15" s="24">
        <v>46041</v>
      </c>
      <c r="C15" s="23" t="s">
        <v>22</v>
      </c>
      <c r="D15" s="28" t="s">
        <v>14</v>
      </c>
      <c r="E15" s="23" t="s">
        <v>33</v>
      </c>
      <c r="F15" s="23" t="s">
        <v>44</v>
      </c>
      <c r="G15" s="28" t="s">
        <v>49</v>
      </c>
      <c r="H15" s="28" t="s">
        <v>49</v>
      </c>
      <c r="I15" s="28" t="s">
        <v>49</v>
      </c>
      <c r="J15" s="28" t="s">
        <v>50</v>
      </c>
      <c r="K15" s="28" t="s">
        <v>49</v>
      </c>
      <c r="L15" s="28" t="s">
        <v>49</v>
      </c>
      <c r="M15" s="28" t="s">
        <v>49</v>
      </c>
      <c r="N15" s="28" t="s">
        <v>49</v>
      </c>
      <c r="O15" s="28" t="s">
        <v>50</v>
      </c>
      <c r="P15" s="28" t="s">
        <v>49</v>
      </c>
      <c r="Q15" s="28" t="s">
        <v>49</v>
      </c>
      <c r="R15" s="28" t="s">
        <v>49</v>
      </c>
      <c r="S15" s="28" t="s">
        <v>49</v>
      </c>
      <c r="T15" s="28" t="s">
        <v>49</v>
      </c>
      <c r="U15" s="28" t="s">
        <v>49</v>
      </c>
      <c r="V15" s="17">
        <f>IF($B15="","",COUNTIF(G15:U15,"OK"))</f>
        <v>13.0</v>
      </c>
      <c r="W15" s="17">
        <f>IF($B15="","",COUNTIF(G15:U15,"NOK"))</f>
        <v>2.0</v>
      </c>
      <c r="X15" s="9">
        <f>IF($B15="","",IF(V15+W15=0,"",V15/(V15+W15)))</f>
        <v>0.8666666666666667</v>
      </c>
      <c r="Y15" s="17" t="str">
        <f>IF(X15="","",IF(X15&gt;=Setup!$C$7,"PASS","FAIL"))</f>
        <v>FAIL</v>
      </c>
      <c r="Z15" s="17" t="str">
        <f>IF($B15="","",IF(W15=0,"",IF(COUNTIF(Findings!$B$6:$B$305,$A15)&gt;=W15,"OK","LOG FINDING")))</f>
        <v>OK</v>
      </c>
    </row>
    <row r="16" spans="1:26">
      <c r="A16" s="17" t="str">
        <f>IF($B16="","","A-1011")</f>
        <v>A-1011</v>
      </c>
      <c r="B16" s="24">
        <v>46042</v>
      </c>
      <c r="C16" s="23" t="s">
        <v>24</v>
      </c>
      <c r="D16" s="28" t="s">
        <v>14</v>
      </c>
      <c r="E16" s="23" t="s">
        <v>33</v>
      </c>
      <c r="F16" s="23" t="s">
        <v>43</v>
      </c>
      <c r="G16" s="28" t="s">
        <v>49</v>
      </c>
      <c r="H16" s="28" t="s">
        <v>49</v>
      </c>
      <c r="I16" s="28" t="s">
        <v>49</v>
      </c>
      <c r="J16" s="28" t="s">
        <v>49</v>
      </c>
      <c r="K16" s="28" t="s">
        <v>49</v>
      </c>
      <c r="L16" s="28" t="s">
        <v>49</v>
      </c>
      <c r="M16" s="28" t="s">
        <v>49</v>
      </c>
      <c r="N16" s="28" t="s">
        <v>49</v>
      </c>
      <c r="O16" s="28" t="s">
        <v>49</v>
      </c>
      <c r="P16" s="28" t="s">
        <v>49</v>
      </c>
      <c r="Q16" s="28" t="s">
        <v>49</v>
      </c>
      <c r="R16" s="28" t="s">
        <v>49</v>
      </c>
      <c r="S16" s="28" t="s">
        <v>49</v>
      </c>
      <c r="T16" s="28" t="s">
        <v>49</v>
      </c>
      <c r="U16" s="28" t="s">
        <v>49</v>
      </c>
      <c r="V16" s="17">
        <f>IF($B16="","",COUNTIF(G16:U16,"OK"))</f>
        <v>15.0</v>
      </c>
      <c r="W16" s="17">
        <f>IF($B16="","",COUNTIF(G16:U16,"NOK"))</f>
        <v>0.0</v>
      </c>
      <c r="X16" s="9">
        <f>IF($B16="","",IF(V16+W16=0,"",V16/(V16+W16)))</f>
        <v>1.0</v>
      </c>
      <c r="Y16" s="17" t="str">
        <f>IF(X16="","",IF(X16&gt;=Setup!$C$7,"PASS","FAIL"))</f>
        <v>PASS</v>
      </c>
      <c r="Z16" s="17">
        <f>IF($B16="","",IF(W16=0,"",IF(COUNTIF(Findings!$B$6:$B$305,$A16)&gt;=W16,"OK","LOG FINDING")))</f>
        <v/>
      </c>
    </row>
    <row r="17" spans="1:26">
      <c r="A17" s="17" t="str">
        <f>IF($B17="","","A-1012")</f>
        <v>A-1012</v>
      </c>
      <c r="B17" s="24">
        <v>46042</v>
      </c>
      <c r="C17" s="23" t="s">
        <v>23</v>
      </c>
      <c r="D17" s="28" t="s">
        <v>14</v>
      </c>
      <c r="E17" s="23" t="s">
        <v>34</v>
      </c>
      <c r="F17" s="23" t="s">
        <v>43</v>
      </c>
      <c r="G17" s="28" t="s">
        <v>49</v>
      </c>
      <c r="H17" s="28" t="s">
        <v>49</v>
      </c>
      <c r="I17" s="28" t="s">
        <v>49</v>
      </c>
      <c r="J17" s="28" t="s">
        <v>49</v>
      </c>
      <c r="K17" s="28" t="s">
        <v>49</v>
      </c>
      <c r="L17" s="28" t="s">
        <v>49</v>
      </c>
      <c r="M17" s="28" t="s">
        <v>49</v>
      </c>
      <c r="N17" s="28" t="s">
        <v>49</v>
      </c>
      <c r="O17" s="28" t="s">
        <v>49</v>
      </c>
      <c r="P17" s="28" t="s">
        <v>49</v>
      </c>
      <c r="Q17" s="28" t="s">
        <v>49</v>
      </c>
      <c r="R17" s="28" t="s">
        <v>49</v>
      </c>
      <c r="S17" s="28" t="s">
        <v>49</v>
      </c>
      <c r="T17" s="28" t="s">
        <v>49</v>
      </c>
      <c r="U17" s="28" t="s">
        <v>49</v>
      </c>
      <c r="V17" s="17">
        <f>IF($B17="","",COUNTIF(G17:U17,"OK"))</f>
        <v>15.0</v>
      </c>
      <c r="W17" s="17">
        <f>IF($B17="","",COUNTIF(G17:U17,"NOK"))</f>
        <v>0.0</v>
      </c>
      <c r="X17" s="9">
        <f>IF($B17="","",IF(V17+W17=0,"",V17/(V17+W17)))</f>
        <v>1.0</v>
      </c>
      <c r="Y17" s="17" t="str">
        <f>IF(X17="","",IF(X17&gt;=Setup!$C$7,"PASS","FAIL"))</f>
        <v>PASS</v>
      </c>
      <c r="Z17" s="17">
        <f>IF($B17="","",IF(W17=0,"",IF(COUNTIF(Findings!$B$6:$B$305,$A17)&gt;=W17,"OK","LOG FINDING")))</f>
        <v/>
      </c>
    </row>
    <row r="18" spans="1:26">
      <c r="A18" s="17" t="str">
        <f>IF($B18="","","A-1013")</f>
        <v>A-1013</v>
      </c>
      <c r="B18" s="24">
        <v>46043</v>
      </c>
      <c r="C18" s="23" t="s">
        <v>25</v>
      </c>
      <c r="D18" s="28" t="s">
        <v>14</v>
      </c>
      <c r="E18" s="23" t="s">
        <v>32</v>
      </c>
      <c r="F18" s="23" t="s">
        <v>43</v>
      </c>
      <c r="G18" s="28" t="s">
        <v>49</v>
      </c>
      <c r="H18" s="28" t="s">
        <v>49</v>
      </c>
      <c r="I18" s="28" t="s">
        <v>49</v>
      </c>
      <c r="J18" s="28" t="s">
        <v>49</v>
      </c>
      <c r="K18" s="28" t="s">
        <v>49</v>
      </c>
      <c r="L18" s="28" t="s">
        <v>49</v>
      </c>
      <c r="M18" s="28" t="s">
        <v>49</v>
      </c>
      <c r="N18" s="28" t="s">
        <v>49</v>
      </c>
      <c r="O18" s="28" t="s">
        <v>49</v>
      </c>
      <c r="P18" s="28" t="s">
        <v>49</v>
      </c>
      <c r="Q18" s="28" t="s">
        <v>50</v>
      </c>
      <c r="R18" s="28" t="s">
        <v>49</v>
      </c>
      <c r="S18" s="28" t="s">
        <v>49</v>
      </c>
      <c r="T18" s="28" t="s">
        <v>49</v>
      </c>
      <c r="U18" s="28" t="s">
        <v>49</v>
      </c>
      <c r="V18" s="17">
        <f>IF($B18="","",COUNTIF(G18:U18,"OK"))</f>
        <v>14.0</v>
      </c>
      <c r="W18" s="17">
        <f>IF($B18="","",COUNTIF(G18:U18,"NOK"))</f>
        <v>1.0</v>
      </c>
      <c r="X18" s="9">
        <f>IF($B18="","",IF(V18+W18=0,"",V18/(V18+W18)))</f>
        <v>0.9333333333333333</v>
      </c>
      <c r="Y18" s="17" t="str">
        <f>IF(X18="","",IF(X18&gt;=Setup!$C$7,"PASS","FAIL"))</f>
        <v>FAIL</v>
      </c>
      <c r="Z18" s="17" t="str">
        <f>IF($B18="","",IF(W18=0,"",IF(COUNTIF(Findings!$B$6:$B$305,$A18)&gt;=W18,"OK","LOG FINDING")))</f>
        <v>OK</v>
      </c>
    </row>
    <row r="19" spans="1:26">
      <c r="A19" s="17" t="str">
        <f>IF($B19="","","A-1014")</f>
        <v>A-1014</v>
      </c>
      <c r="B19" s="24">
        <v>46044</v>
      </c>
      <c r="C19" s="23" t="s">
        <v>26</v>
      </c>
      <c r="D19" s="28" t="s">
        <v>16</v>
      </c>
      <c r="E19" s="23" t="s">
        <v>35</v>
      </c>
      <c r="F19" s="23" t="s">
        <v>44</v>
      </c>
      <c r="G19" s="28" t="s">
        <v>49</v>
      </c>
      <c r="H19" s="28" t="s">
        <v>49</v>
      </c>
      <c r="I19" s="28" t="s">
        <v>49</v>
      </c>
      <c r="J19" s="28" t="s">
        <v>49</v>
      </c>
      <c r="K19" s="28" t="s">
        <v>49</v>
      </c>
      <c r="L19" s="28" t="s">
        <v>49</v>
      </c>
      <c r="M19" s="28" t="s">
        <v>49</v>
      </c>
      <c r="N19" s="28" t="s">
        <v>49</v>
      </c>
      <c r="O19" s="28" t="s">
        <v>49</v>
      </c>
      <c r="P19" s="28" t="s">
        <v>49</v>
      </c>
      <c r="Q19" s="28" t="s">
        <v>51</v>
      </c>
      <c r="R19" s="28" t="s">
        <v>49</v>
      </c>
      <c r="S19" s="28" t="s">
        <v>49</v>
      </c>
      <c r="T19" s="28" t="s">
        <v>49</v>
      </c>
      <c r="U19" s="28" t="s">
        <v>49</v>
      </c>
      <c r="V19" s="17">
        <f>IF($B19="","",COUNTIF(G19:U19,"OK"))</f>
        <v>14.0</v>
      </c>
      <c r="W19" s="17">
        <f>IF($B19="","",COUNTIF(G19:U19,"NOK"))</f>
        <v>0.0</v>
      </c>
      <c r="X19" s="9">
        <f>IF($B19="","",IF(V19+W19=0,"",V19/(V19+W19)))</f>
        <v>1.0</v>
      </c>
      <c r="Y19" s="17" t="str">
        <f>IF(X19="","",IF(X19&gt;=Setup!$C$7,"PASS","FAIL"))</f>
        <v>PASS</v>
      </c>
      <c r="Z19" s="17">
        <f>IF($B19="","",IF(W19=0,"",IF(COUNTIF(Findings!$B$6:$B$305,$A19)&gt;=W19,"OK","LOG FINDING")))</f>
        <v/>
      </c>
    </row>
    <row r="20" spans="1:26">
      <c r="A20" s="17" t="str">
        <f>IF($B20="","","A-1015")</f>
        <v>A-1015</v>
      </c>
      <c r="B20" s="24">
        <v>46045</v>
      </c>
      <c r="C20" s="23" t="s">
        <v>26</v>
      </c>
      <c r="D20" s="28" t="s">
        <v>14</v>
      </c>
      <c r="E20" s="23" t="s">
        <v>33</v>
      </c>
      <c r="F20" s="23" t="s">
        <v>44</v>
      </c>
      <c r="G20" s="28" t="s">
        <v>49</v>
      </c>
      <c r="H20" s="28" t="s">
        <v>49</v>
      </c>
      <c r="I20" s="28" t="s">
        <v>49</v>
      </c>
      <c r="J20" s="28" t="s">
        <v>49</v>
      </c>
      <c r="K20" s="28" t="s">
        <v>49</v>
      </c>
      <c r="L20" s="28" t="s">
        <v>49</v>
      </c>
      <c r="M20" s="28" t="s">
        <v>49</v>
      </c>
      <c r="N20" s="28" t="s">
        <v>49</v>
      </c>
      <c r="O20" s="28" t="s">
        <v>49</v>
      </c>
      <c r="P20" s="28" t="s">
        <v>49</v>
      </c>
      <c r="Q20" s="28" t="s">
        <v>49</v>
      </c>
      <c r="R20" s="28" t="s">
        <v>49</v>
      </c>
      <c r="S20" s="28" t="s">
        <v>49</v>
      </c>
      <c r="T20" s="28" t="s">
        <v>49</v>
      </c>
      <c r="U20" s="28" t="s">
        <v>49</v>
      </c>
      <c r="V20" s="17">
        <f>IF($B20="","",COUNTIF(G20:U20,"OK"))</f>
        <v>15.0</v>
      </c>
      <c r="W20" s="17">
        <f>IF($B20="","",COUNTIF(G20:U20,"NOK"))</f>
        <v>0.0</v>
      </c>
      <c r="X20" s="9">
        <f>IF($B20="","",IF(V20+W20=0,"",V20/(V20+W20)))</f>
        <v>1.0</v>
      </c>
      <c r="Y20" s="17" t="str">
        <f>IF(X20="","",IF(X20&gt;=Setup!$C$7,"PASS","FAIL"))</f>
        <v>PASS</v>
      </c>
      <c r="Z20" s="17">
        <f>IF($B20="","",IF(W20=0,"",IF(COUNTIF(Findings!$B$6:$B$305,$A20)&gt;=W20,"OK","LOG FINDING")))</f>
        <v/>
      </c>
    </row>
    <row r="21" spans="1:26">
      <c r="A21" s="17" t="str">
        <f>IF($B21="","","A-1016")</f>
        <v>A-1016</v>
      </c>
      <c r="B21" s="24">
        <v>46048</v>
      </c>
      <c r="C21" s="23" t="s">
        <v>25</v>
      </c>
      <c r="D21" s="28" t="s">
        <v>14</v>
      </c>
      <c r="E21" s="23" t="s">
        <v>34</v>
      </c>
      <c r="F21" s="23" t="s">
        <v>43</v>
      </c>
      <c r="G21" s="28" t="s">
        <v>49</v>
      </c>
      <c r="H21" s="28" t="s">
        <v>49</v>
      </c>
      <c r="I21" s="28" t="s">
        <v>49</v>
      </c>
      <c r="J21" s="28" t="s">
        <v>49</v>
      </c>
      <c r="K21" s="28" t="s">
        <v>49</v>
      </c>
      <c r="L21" s="28" t="s">
        <v>49</v>
      </c>
      <c r="M21" s="28" t="s">
        <v>49</v>
      </c>
      <c r="N21" s="28" t="s">
        <v>49</v>
      </c>
      <c r="O21" s="28" t="s">
        <v>49</v>
      </c>
      <c r="P21" s="28" t="s">
        <v>49</v>
      </c>
      <c r="Q21" s="28" t="s">
        <v>49</v>
      </c>
      <c r="R21" s="28" t="s">
        <v>49</v>
      </c>
      <c r="S21" s="28" t="s">
        <v>49</v>
      </c>
      <c r="T21" s="28" t="s">
        <v>49</v>
      </c>
      <c r="U21" s="28" t="s">
        <v>49</v>
      </c>
      <c r="V21" s="17">
        <f>IF($B21="","",COUNTIF(G21:U21,"OK"))</f>
        <v>15.0</v>
      </c>
      <c r="W21" s="17">
        <f>IF($B21="","",COUNTIF(G21:U21,"NOK"))</f>
        <v>0.0</v>
      </c>
      <c r="X21" s="9">
        <f>IF($B21="","",IF(V21+W21=0,"",V21/(V21+W21)))</f>
        <v>1.0</v>
      </c>
      <c r="Y21" s="17" t="str">
        <f>IF(X21="","",IF(X21&gt;=Setup!$C$7,"PASS","FAIL"))</f>
        <v>PASS</v>
      </c>
      <c r="Z21" s="17">
        <f>IF($B21="","",IF(W21=0,"",IF(COUNTIF(Findings!$B$6:$B$305,$A21)&gt;=W21,"OK","LOG FINDING")))</f>
        <v/>
      </c>
    </row>
    <row r="22" spans="1:26">
      <c r="A22" s="17" t="str">
        <f>IF($B22="","","A-1017")</f>
        <v>A-1017</v>
      </c>
      <c r="B22" s="24">
        <v>46051</v>
      </c>
      <c r="C22" s="23" t="s">
        <v>22</v>
      </c>
      <c r="D22" s="28" t="s">
        <v>14</v>
      </c>
      <c r="E22" s="23" t="s">
        <v>33</v>
      </c>
      <c r="F22" s="23" t="s">
        <v>43</v>
      </c>
      <c r="G22" s="28" t="s">
        <v>49</v>
      </c>
      <c r="H22" s="28" t="s">
        <v>49</v>
      </c>
      <c r="I22" s="28" t="s">
        <v>49</v>
      </c>
      <c r="J22" s="28" t="s">
        <v>49</v>
      </c>
      <c r="K22" s="28" t="s">
        <v>49</v>
      </c>
      <c r="L22" s="28" t="s">
        <v>49</v>
      </c>
      <c r="M22" s="28" t="s">
        <v>49</v>
      </c>
      <c r="N22" s="28" t="s">
        <v>49</v>
      </c>
      <c r="O22" s="28" t="s">
        <v>49</v>
      </c>
      <c r="P22" s="28" t="s">
        <v>49</v>
      </c>
      <c r="Q22" s="28" t="s">
        <v>51</v>
      </c>
      <c r="R22" s="28" t="s">
        <v>50</v>
      </c>
      <c r="S22" s="28" t="s">
        <v>49</v>
      </c>
      <c r="T22" s="28" t="s">
        <v>49</v>
      </c>
      <c r="U22" s="28" t="s">
        <v>49</v>
      </c>
      <c r="V22" s="17">
        <f>IF($B22="","",COUNTIF(G22:U22,"OK"))</f>
        <v>13.0</v>
      </c>
      <c r="W22" s="17">
        <f>IF($B22="","",COUNTIF(G22:U22,"NOK"))</f>
        <v>1.0</v>
      </c>
      <c r="X22" s="9">
        <f>IF($B22="","",IF(V22+W22=0,"",V22/(V22+W22)))</f>
        <v>0.9285714285714286</v>
      </c>
      <c r="Y22" s="17" t="str">
        <f>IF(X22="","",IF(X22&gt;=Setup!$C$7,"PASS","FAIL"))</f>
        <v>FAIL</v>
      </c>
      <c r="Z22" s="17" t="str">
        <f>IF($B22="","",IF(W22=0,"",IF(COUNTIF(Findings!$B$6:$B$305,$A22)&gt;=W22,"OK","LOG FINDING")))</f>
        <v>OK</v>
      </c>
    </row>
    <row r="23" spans="1:26">
      <c r="A23" s="17" t="str">
        <f>IF($B23="","","A-1018")</f>
        <v>A-1018</v>
      </c>
      <c r="B23" s="24">
        <v>46055</v>
      </c>
      <c r="C23" s="23" t="s">
        <v>23</v>
      </c>
      <c r="D23" s="28" t="s">
        <v>14</v>
      </c>
      <c r="E23" s="23" t="s">
        <v>32</v>
      </c>
      <c r="F23" s="23" t="s">
        <v>44</v>
      </c>
      <c r="G23" s="28" t="s">
        <v>49</v>
      </c>
      <c r="H23" s="28" t="s">
        <v>49</v>
      </c>
      <c r="I23" s="28" t="s">
        <v>49</v>
      </c>
      <c r="J23" s="28" t="s">
        <v>49</v>
      </c>
      <c r="K23" s="28" t="s">
        <v>49</v>
      </c>
      <c r="L23" s="28" t="s">
        <v>49</v>
      </c>
      <c r="M23" s="28" t="s">
        <v>49</v>
      </c>
      <c r="N23" s="28" t="s">
        <v>49</v>
      </c>
      <c r="O23" s="28" t="s">
        <v>49</v>
      </c>
      <c r="P23" s="28" t="s">
        <v>49</v>
      </c>
      <c r="Q23" s="28" t="s">
        <v>49</v>
      </c>
      <c r="R23" s="28" t="s">
        <v>49</v>
      </c>
      <c r="S23" s="28" t="s">
        <v>49</v>
      </c>
      <c r="T23" s="28" t="s">
        <v>49</v>
      </c>
      <c r="U23" s="28" t="s">
        <v>49</v>
      </c>
      <c r="V23" s="17">
        <f>IF($B23="","",COUNTIF(G23:U23,"OK"))</f>
        <v>15.0</v>
      </c>
      <c r="W23" s="17">
        <f>IF($B23="","",COUNTIF(G23:U23,"NOK"))</f>
        <v>0.0</v>
      </c>
      <c r="X23" s="9">
        <f>IF($B23="","",IF(V23+W23=0,"",V23/(V23+W23)))</f>
        <v>1.0</v>
      </c>
      <c r="Y23" s="17" t="str">
        <f>IF(X23="","",IF(X23&gt;=Setup!$C$7,"PASS","FAIL"))</f>
        <v>PASS</v>
      </c>
      <c r="Z23" s="17">
        <f>IF($B23="","",IF(W23=0,"",IF(COUNTIF(Findings!$B$6:$B$305,$A23)&gt;=W23,"OK","LOG FINDING")))</f>
        <v/>
      </c>
    </row>
    <row r="24" spans="1:26">
      <c r="A24" s="17" t="str">
        <f>IF($B24="","","A-1019")</f>
        <v>A-1019</v>
      </c>
      <c r="B24" s="24">
        <v>46058</v>
      </c>
      <c r="C24" s="23" t="s">
        <v>26</v>
      </c>
      <c r="D24" s="28" t="s">
        <v>16</v>
      </c>
      <c r="E24" s="23" t="s">
        <v>36</v>
      </c>
      <c r="F24" s="23" t="s">
        <v>44</v>
      </c>
      <c r="G24" s="28" t="s">
        <v>49</v>
      </c>
      <c r="H24" s="28" t="s">
        <v>49</v>
      </c>
      <c r="I24" s="28" t="s">
        <v>49</v>
      </c>
      <c r="J24" s="28" t="s">
        <v>49</v>
      </c>
      <c r="K24" s="28" t="s">
        <v>49</v>
      </c>
      <c r="L24" s="28" t="s">
        <v>49</v>
      </c>
      <c r="M24" s="28" t="s">
        <v>49</v>
      </c>
      <c r="N24" s="28" t="s">
        <v>49</v>
      </c>
      <c r="O24" s="28" t="s">
        <v>49</v>
      </c>
      <c r="P24" s="28" t="s">
        <v>49</v>
      </c>
      <c r="Q24" s="28" t="s">
        <v>49</v>
      </c>
      <c r="R24" s="28" t="s">
        <v>49</v>
      </c>
      <c r="S24" s="28" t="s">
        <v>49</v>
      </c>
      <c r="T24" s="28" t="s">
        <v>49</v>
      </c>
      <c r="U24" s="28" t="s">
        <v>49</v>
      </c>
      <c r="V24" s="17">
        <f>IF($B24="","",COUNTIF(G24:U24,"OK"))</f>
        <v>15.0</v>
      </c>
      <c r="W24" s="17">
        <f>IF($B24="","",COUNTIF(G24:U24,"NOK"))</f>
        <v>0.0</v>
      </c>
      <c r="X24" s="9">
        <f>IF($B24="","",IF(V24+W24=0,"",V24/(V24+W24)))</f>
        <v>1.0</v>
      </c>
      <c r="Y24" s="17" t="str">
        <f>IF(X24="","",IF(X24&gt;=Setup!$C$7,"PASS","FAIL"))</f>
        <v>PASS</v>
      </c>
      <c r="Z24" s="17">
        <f>IF($B24="","",IF(W24=0,"",IF(COUNTIF(Findings!$B$6:$B$305,$A24)&gt;=W24,"OK","LOG FINDING")))</f>
        <v/>
      </c>
    </row>
    <row r="25" spans="1:26">
      <c r="A25" s="17" t="str">
        <f>IF($B25="","","A-1020")</f>
        <v>A-1020</v>
      </c>
      <c r="B25" s="24">
        <v>46058</v>
      </c>
      <c r="C25" s="23" t="s">
        <v>27</v>
      </c>
      <c r="D25" s="28" t="s">
        <v>14</v>
      </c>
      <c r="E25" s="23" t="s">
        <v>34</v>
      </c>
      <c r="F25" s="23" t="s">
        <v>44</v>
      </c>
      <c r="G25" s="28" t="s">
        <v>49</v>
      </c>
      <c r="H25" s="28" t="s">
        <v>49</v>
      </c>
      <c r="I25" s="28" t="s">
        <v>49</v>
      </c>
      <c r="J25" s="28" t="s">
        <v>49</v>
      </c>
      <c r="K25" s="28" t="s">
        <v>49</v>
      </c>
      <c r="L25" s="28" t="s">
        <v>49</v>
      </c>
      <c r="M25" s="28" t="s">
        <v>49</v>
      </c>
      <c r="N25" s="28" t="s">
        <v>49</v>
      </c>
      <c r="O25" s="28" t="s">
        <v>49</v>
      </c>
      <c r="P25" s="28" t="s">
        <v>49</v>
      </c>
      <c r="Q25" s="28" t="s">
        <v>49</v>
      </c>
      <c r="R25" s="28" t="s">
        <v>49</v>
      </c>
      <c r="S25" s="28" t="s">
        <v>49</v>
      </c>
      <c r="T25" s="28" t="s">
        <v>50</v>
      </c>
      <c r="U25" s="28" t="s">
        <v>49</v>
      </c>
      <c r="V25" s="17">
        <f>IF($B25="","",COUNTIF(G25:U25,"OK"))</f>
        <v>14.0</v>
      </c>
      <c r="W25" s="17">
        <f>IF($B25="","",COUNTIF(G25:U25,"NOK"))</f>
        <v>1.0</v>
      </c>
      <c r="X25" s="9">
        <f>IF($B25="","",IF(V25+W25=0,"",V25/(V25+W25)))</f>
        <v>0.9333333333333333</v>
      </c>
      <c r="Y25" s="17" t="str">
        <f>IF(X25="","",IF(X25&gt;=Setup!$C$7,"PASS","FAIL"))</f>
        <v>FAIL</v>
      </c>
      <c r="Z25" s="17" t="str">
        <f>IF($B25="","",IF(W25=0,"",IF(COUNTIF(Findings!$B$6:$B$305,$A25)&gt;=W25,"OK","LOG FINDING")))</f>
        <v>OK</v>
      </c>
    </row>
    <row r="26" spans="1:26">
      <c r="A26" s="17" t="str">
        <f>IF($B26="","","A-1021")</f>
        <v>A-1021</v>
      </c>
      <c r="B26" s="24">
        <v>46058</v>
      </c>
      <c r="C26" s="23" t="s">
        <v>25</v>
      </c>
      <c r="D26" s="28" t="s">
        <v>14</v>
      </c>
      <c r="E26" s="23" t="s">
        <v>33</v>
      </c>
      <c r="F26" s="23" t="s">
        <v>43</v>
      </c>
      <c r="G26" s="28" t="s">
        <v>49</v>
      </c>
      <c r="H26" s="28" t="s">
        <v>49</v>
      </c>
      <c r="I26" s="28" t="s">
        <v>49</v>
      </c>
      <c r="J26" s="28" t="s">
        <v>51</v>
      </c>
      <c r="K26" s="28" t="s">
        <v>49</v>
      </c>
      <c r="L26" s="28" t="s">
        <v>49</v>
      </c>
      <c r="M26" s="28" t="s">
        <v>49</v>
      </c>
      <c r="N26" s="28" t="s">
        <v>49</v>
      </c>
      <c r="O26" s="28" t="s">
        <v>49</v>
      </c>
      <c r="P26" s="28" t="s">
        <v>49</v>
      </c>
      <c r="Q26" s="28" t="s">
        <v>51</v>
      </c>
      <c r="R26" s="28" t="s">
        <v>49</v>
      </c>
      <c r="S26" s="28" t="s">
        <v>49</v>
      </c>
      <c r="T26" s="28" t="s">
        <v>49</v>
      </c>
      <c r="U26" s="28" t="s">
        <v>49</v>
      </c>
      <c r="V26" s="17">
        <f>IF($B26="","",COUNTIF(G26:U26,"OK"))</f>
        <v>13.0</v>
      </c>
      <c r="W26" s="17">
        <f>IF($B26="","",COUNTIF(G26:U26,"NOK"))</f>
        <v>0.0</v>
      </c>
      <c r="X26" s="9">
        <f>IF($B26="","",IF(V26+W26=0,"",V26/(V26+W26)))</f>
        <v>1.0</v>
      </c>
      <c r="Y26" s="17" t="str">
        <f>IF(X26="","",IF(X26&gt;=Setup!$C$7,"PASS","FAIL"))</f>
        <v>PASS</v>
      </c>
      <c r="Z26" s="17">
        <f>IF($B26="","",IF(W26=0,"",IF(COUNTIF(Findings!$B$6:$B$305,$A26)&gt;=W26,"OK","LOG FINDING")))</f>
        <v/>
      </c>
    </row>
    <row r="27" spans="1:26">
      <c r="A27" s="17" t="str">
        <f>IF($B27="","","A-1022")</f>
        <v>A-1022</v>
      </c>
      <c r="B27" s="24">
        <v>46059</v>
      </c>
      <c r="C27" s="23" t="s">
        <v>22</v>
      </c>
      <c r="D27" s="28" t="s">
        <v>14</v>
      </c>
      <c r="E27" s="23" t="s">
        <v>33</v>
      </c>
      <c r="F27" s="23" t="s">
        <v>43</v>
      </c>
      <c r="G27" s="28" t="s">
        <v>49</v>
      </c>
      <c r="H27" s="28" t="s">
        <v>49</v>
      </c>
      <c r="I27" s="28" t="s">
        <v>49</v>
      </c>
      <c r="J27" s="28" t="s">
        <v>49</v>
      </c>
      <c r="K27" s="28" t="s">
        <v>49</v>
      </c>
      <c r="L27" s="28" t="s">
        <v>49</v>
      </c>
      <c r="M27" s="28" t="s">
        <v>49</v>
      </c>
      <c r="N27" s="28" t="s">
        <v>49</v>
      </c>
      <c r="O27" s="28" t="s">
        <v>49</v>
      </c>
      <c r="P27" s="28" t="s">
        <v>49</v>
      </c>
      <c r="Q27" s="28" t="s">
        <v>49</v>
      </c>
      <c r="R27" s="28" t="s">
        <v>49</v>
      </c>
      <c r="S27" s="28" t="s">
        <v>49</v>
      </c>
      <c r="T27" s="28" t="s">
        <v>49</v>
      </c>
      <c r="U27" s="28" t="s">
        <v>49</v>
      </c>
      <c r="V27" s="17">
        <f>IF($B27="","",COUNTIF(G27:U27,"OK"))</f>
        <v>15.0</v>
      </c>
      <c r="W27" s="17">
        <f>IF($B27="","",COUNTIF(G27:U27,"NOK"))</f>
        <v>0.0</v>
      </c>
      <c r="X27" s="9">
        <f>IF($B27="","",IF(V27+W27=0,"",V27/(V27+W27)))</f>
        <v>1.0</v>
      </c>
      <c r="Y27" s="17" t="str">
        <f>IF(X27="","",IF(X27&gt;=Setup!$C$7,"PASS","FAIL"))</f>
        <v>PASS</v>
      </c>
      <c r="Z27" s="17">
        <f>IF($B27="","",IF(W27=0,"",IF(COUNTIF(Findings!$B$6:$B$305,$A27)&gt;=W27,"OK","LOG FINDING")))</f>
        <v/>
      </c>
    </row>
    <row r="28" spans="1:26">
      <c r="A28" s="17" t="str">
        <f>IF($B28="","","A-1023")</f>
        <v>A-1023</v>
      </c>
      <c r="B28" s="24">
        <v>46062</v>
      </c>
      <c r="C28" s="23" t="s">
        <v>23</v>
      </c>
      <c r="D28" s="28" t="s">
        <v>16</v>
      </c>
      <c r="E28" s="23" t="s">
        <v>35</v>
      </c>
      <c r="F28" s="23" t="s">
        <v>44</v>
      </c>
      <c r="G28" s="28" t="s">
        <v>49</v>
      </c>
      <c r="H28" s="28" t="s">
        <v>49</v>
      </c>
      <c r="I28" s="28" t="s">
        <v>49</v>
      </c>
      <c r="J28" s="28" t="s">
        <v>51</v>
      </c>
      <c r="K28" s="28" t="s">
        <v>49</v>
      </c>
      <c r="L28" s="28" t="s">
        <v>49</v>
      </c>
      <c r="M28" s="28" t="s">
        <v>49</v>
      </c>
      <c r="N28" s="28" t="s">
        <v>50</v>
      </c>
      <c r="O28" s="28" t="s">
        <v>49</v>
      </c>
      <c r="P28" s="28" t="s">
        <v>49</v>
      </c>
      <c r="Q28" s="28" t="s">
        <v>49</v>
      </c>
      <c r="R28" s="28" t="s">
        <v>49</v>
      </c>
      <c r="S28" s="28" t="s">
        <v>49</v>
      </c>
      <c r="T28" s="28" t="s">
        <v>49</v>
      </c>
      <c r="U28" s="28" t="s">
        <v>49</v>
      </c>
      <c r="V28" s="17">
        <f>IF($B28="","",COUNTIF(G28:U28,"OK"))</f>
        <v>13.0</v>
      </c>
      <c r="W28" s="17">
        <f>IF($B28="","",COUNTIF(G28:U28,"NOK"))</f>
        <v>1.0</v>
      </c>
      <c r="X28" s="9">
        <f>IF($B28="","",IF(V28+W28=0,"",V28/(V28+W28)))</f>
        <v>0.9285714285714286</v>
      </c>
      <c r="Y28" s="17" t="str">
        <f>IF(X28="","",IF(X28&gt;=Setup!$C$7,"PASS","FAIL"))</f>
        <v>FAIL</v>
      </c>
      <c r="Z28" s="17" t="str">
        <f>IF($B28="","",IF(W28=0,"",IF(COUNTIF(Findings!$B$6:$B$305,$A28)&gt;=W28,"OK","LOG FINDING")))</f>
        <v>OK</v>
      </c>
    </row>
    <row r="29" spans="1:26">
      <c r="A29" s="17" t="str">
        <f>IF($B29="","","A-1024")</f>
        <v>A-1024</v>
      </c>
      <c r="B29" s="24">
        <v>46062</v>
      </c>
      <c r="C29" s="23" t="s">
        <v>25</v>
      </c>
      <c r="D29" s="28" t="s">
        <v>16</v>
      </c>
      <c r="E29" s="23" t="s">
        <v>36</v>
      </c>
      <c r="F29" s="23" t="s">
        <v>43</v>
      </c>
      <c r="G29" s="28" t="s">
        <v>49</v>
      </c>
      <c r="H29" s="28" t="s">
        <v>49</v>
      </c>
      <c r="I29" s="28" t="s">
        <v>49</v>
      </c>
      <c r="J29" s="28" t="s">
        <v>51</v>
      </c>
      <c r="K29" s="28" t="s">
        <v>49</v>
      </c>
      <c r="L29" s="28" t="s">
        <v>49</v>
      </c>
      <c r="M29" s="28" t="s">
        <v>49</v>
      </c>
      <c r="N29" s="28" t="s">
        <v>49</v>
      </c>
      <c r="O29" s="28" t="s">
        <v>49</v>
      </c>
      <c r="P29" s="28" t="s">
        <v>49</v>
      </c>
      <c r="Q29" s="28" t="s">
        <v>51</v>
      </c>
      <c r="R29" s="28" t="s">
        <v>49</v>
      </c>
      <c r="S29" s="28" t="s">
        <v>49</v>
      </c>
      <c r="T29" s="28" t="s">
        <v>49</v>
      </c>
      <c r="U29" s="28" t="s">
        <v>49</v>
      </c>
      <c r="V29" s="17">
        <f>IF($B29="","",COUNTIF(G29:U29,"OK"))</f>
        <v>13.0</v>
      </c>
      <c r="W29" s="17">
        <f>IF($B29="","",COUNTIF(G29:U29,"NOK"))</f>
        <v>0.0</v>
      </c>
      <c r="X29" s="9">
        <f>IF($B29="","",IF(V29+W29=0,"",V29/(V29+W29)))</f>
        <v>1.0</v>
      </c>
      <c r="Y29" s="17" t="str">
        <f>IF(X29="","",IF(X29&gt;=Setup!$C$7,"PASS","FAIL"))</f>
        <v>PASS</v>
      </c>
      <c r="Z29" s="17">
        <f>IF($B29="","",IF(W29=0,"",IF(COUNTIF(Findings!$B$6:$B$305,$A29)&gt;=W29,"OK","LOG FINDING")))</f>
        <v/>
      </c>
    </row>
    <row r="30" spans="1:26">
      <c r="A30" s="17" t="str">
        <f>IF($B30="","","A-1025")</f>
        <v>A-1025</v>
      </c>
      <c r="B30" s="24">
        <v>46063</v>
      </c>
      <c r="C30" s="23" t="s">
        <v>24</v>
      </c>
      <c r="D30" s="28" t="s">
        <v>16</v>
      </c>
      <c r="E30" s="23" t="s">
        <v>36</v>
      </c>
      <c r="F30" s="23" t="s">
        <v>43</v>
      </c>
      <c r="G30" s="28" t="s">
        <v>49</v>
      </c>
      <c r="H30" s="28" t="s">
        <v>49</v>
      </c>
      <c r="I30" s="28" t="s">
        <v>49</v>
      </c>
      <c r="J30" s="28" t="s">
        <v>49</v>
      </c>
      <c r="K30" s="28" t="s">
        <v>49</v>
      </c>
      <c r="L30" s="28" t="s">
        <v>49</v>
      </c>
      <c r="M30" s="28" t="s">
        <v>49</v>
      </c>
      <c r="N30" s="28" t="s">
        <v>49</v>
      </c>
      <c r="O30" s="28" t="s">
        <v>49</v>
      </c>
      <c r="P30" s="28" t="s">
        <v>49</v>
      </c>
      <c r="Q30" s="28" t="s">
        <v>51</v>
      </c>
      <c r="R30" s="28" t="s">
        <v>49</v>
      </c>
      <c r="S30" s="28" t="s">
        <v>49</v>
      </c>
      <c r="T30" s="28" t="s">
        <v>49</v>
      </c>
      <c r="U30" s="28" t="s">
        <v>49</v>
      </c>
      <c r="V30" s="17">
        <f>IF($B30="","",COUNTIF(G30:U30,"OK"))</f>
        <v>14.0</v>
      </c>
      <c r="W30" s="17">
        <f>IF($B30="","",COUNTIF(G30:U30,"NOK"))</f>
        <v>0.0</v>
      </c>
      <c r="X30" s="9">
        <f>IF($B30="","",IF(V30+W30=0,"",V30/(V30+W30)))</f>
        <v>1.0</v>
      </c>
      <c r="Y30" s="17" t="str">
        <f>IF(X30="","",IF(X30&gt;=Setup!$C$7,"PASS","FAIL"))</f>
        <v>PASS</v>
      </c>
      <c r="Z30" s="17">
        <f>IF($B30="","",IF(W30=0,"",IF(COUNTIF(Findings!$B$6:$B$305,$A30)&gt;=W30,"OK","LOG FINDING")))</f>
        <v/>
      </c>
    </row>
    <row r="31" spans="1:26">
      <c r="A31" s="17" t="str">
        <f>IF($B31="","","A-1026")</f>
        <v>A-1026</v>
      </c>
      <c r="B31" s="24">
        <v>46064</v>
      </c>
      <c r="C31" s="23" t="s">
        <v>26</v>
      </c>
      <c r="D31" s="28" t="s">
        <v>14</v>
      </c>
      <c r="E31" s="23" t="s">
        <v>33</v>
      </c>
      <c r="F31" s="23" t="s">
        <v>44</v>
      </c>
      <c r="G31" s="28" t="s">
        <v>49</v>
      </c>
      <c r="H31" s="28" t="s">
        <v>49</v>
      </c>
      <c r="I31" s="28" t="s">
        <v>49</v>
      </c>
      <c r="J31" s="28" t="s">
        <v>51</v>
      </c>
      <c r="K31" s="28" t="s">
        <v>49</v>
      </c>
      <c r="L31" s="28" t="s">
        <v>49</v>
      </c>
      <c r="M31" s="28" t="s">
        <v>49</v>
      </c>
      <c r="N31" s="28" t="s">
        <v>49</v>
      </c>
      <c r="O31" s="28" t="s">
        <v>49</v>
      </c>
      <c r="P31" s="28" t="s">
        <v>49</v>
      </c>
      <c r="Q31" s="28" t="s">
        <v>49</v>
      </c>
      <c r="R31" s="28" t="s">
        <v>49</v>
      </c>
      <c r="S31" s="28" t="s">
        <v>49</v>
      </c>
      <c r="T31" s="28" t="s">
        <v>49</v>
      </c>
      <c r="U31" s="28" t="s">
        <v>49</v>
      </c>
      <c r="V31" s="17">
        <f>IF($B31="","",COUNTIF(G31:U31,"OK"))</f>
        <v>14.0</v>
      </c>
      <c r="W31" s="17">
        <f>IF($B31="","",COUNTIF(G31:U31,"NOK"))</f>
        <v>0.0</v>
      </c>
      <c r="X31" s="9">
        <f>IF($B31="","",IF(V31+W31=0,"",V31/(V31+W31)))</f>
        <v>1.0</v>
      </c>
      <c r="Y31" s="17" t="str">
        <f>IF(X31="","",IF(X31&gt;=Setup!$C$7,"PASS","FAIL"))</f>
        <v>PASS</v>
      </c>
      <c r="Z31" s="17">
        <f>IF($B31="","",IF(W31=0,"",IF(COUNTIF(Findings!$B$6:$B$305,$A31)&gt;=W31,"OK","LOG FINDING")))</f>
        <v/>
      </c>
    </row>
    <row r="32" spans="1:26">
      <c r="A32" s="17" t="str">
        <f>IF($B32="","","A-1027")</f>
        <v>A-1027</v>
      </c>
      <c r="B32" s="24">
        <v>46069</v>
      </c>
      <c r="C32" s="23" t="s">
        <v>24</v>
      </c>
      <c r="D32" s="28" t="s">
        <v>14</v>
      </c>
      <c r="E32" s="23" t="s">
        <v>33</v>
      </c>
      <c r="F32" s="23" t="s">
        <v>43</v>
      </c>
      <c r="G32" s="28" t="s">
        <v>49</v>
      </c>
      <c r="H32" s="28" t="s">
        <v>49</v>
      </c>
      <c r="I32" s="28" t="s">
        <v>49</v>
      </c>
      <c r="J32" s="28" t="s">
        <v>51</v>
      </c>
      <c r="K32" s="28" t="s">
        <v>49</v>
      </c>
      <c r="L32" s="28" t="s">
        <v>49</v>
      </c>
      <c r="M32" s="28" t="s">
        <v>49</v>
      </c>
      <c r="N32" s="28" t="s">
        <v>50</v>
      </c>
      <c r="O32" s="28" t="s">
        <v>49</v>
      </c>
      <c r="P32" s="28" t="s">
        <v>49</v>
      </c>
      <c r="Q32" s="28" t="s">
        <v>51</v>
      </c>
      <c r="R32" s="28" t="s">
        <v>49</v>
      </c>
      <c r="S32" s="28" t="s">
        <v>49</v>
      </c>
      <c r="T32" s="28" t="s">
        <v>49</v>
      </c>
      <c r="U32" s="28" t="s">
        <v>49</v>
      </c>
      <c r="V32" s="17">
        <f>IF($B32="","",COUNTIF(G32:U32,"OK"))</f>
        <v>12.0</v>
      </c>
      <c r="W32" s="17">
        <f>IF($B32="","",COUNTIF(G32:U32,"NOK"))</f>
        <v>1.0</v>
      </c>
      <c r="X32" s="9">
        <f>IF($B32="","",IF(V32+W32=0,"",V32/(V32+W32)))</f>
        <v>0.9230769230769231</v>
      </c>
      <c r="Y32" s="17" t="str">
        <f>IF(X32="","",IF(X32&gt;=Setup!$C$7,"PASS","FAIL"))</f>
        <v>FAIL</v>
      </c>
      <c r="Z32" s="17" t="str">
        <f>IF($B32="","",IF(W32=0,"",IF(COUNTIF(Findings!$B$6:$B$305,$A32)&gt;=W32,"OK","LOG FINDING")))</f>
        <v>OK</v>
      </c>
    </row>
    <row r="33" spans="1:26">
      <c r="A33" s="17" t="str">
        <f>IF($B33="","","A-1028")</f>
        <v>A-1028</v>
      </c>
      <c r="B33" s="24">
        <v>46069</v>
      </c>
      <c r="C33" s="23" t="s">
        <v>26</v>
      </c>
      <c r="D33" s="28" t="s">
        <v>14</v>
      </c>
      <c r="E33" s="23" t="s">
        <v>33</v>
      </c>
      <c r="F33" s="23" t="s">
        <v>43</v>
      </c>
      <c r="G33" s="28" t="s">
        <v>49</v>
      </c>
      <c r="H33" s="28" t="s">
        <v>49</v>
      </c>
      <c r="I33" s="28" t="s">
        <v>49</v>
      </c>
      <c r="J33" s="28" t="s">
        <v>49</v>
      </c>
      <c r="K33" s="28" t="s">
        <v>49</v>
      </c>
      <c r="L33" s="28" t="s">
        <v>49</v>
      </c>
      <c r="M33" s="28" t="s">
        <v>49</v>
      </c>
      <c r="N33" s="28" t="s">
        <v>49</v>
      </c>
      <c r="O33" s="28" t="s">
        <v>49</v>
      </c>
      <c r="P33" s="28" t="s">
        <v>49</v>
      </c>
      <c r="Q33" s="28" t="s">
        <v>49</v>
      </c>
      <c r="R33" s="28" t="s">
        <v>49</v>
      </c>
      <c r="S33" s="28" t="s">
        <v>49</v>
      </c>
      <c r="T33" s="28" t="s">
        <v>49</v>
      </c>
      <c r="U33" s="28" t="s">
        <v>49</v>
      </c>
      <c r="V33" s="17">
        <f>IF($B33="","",COUNTIF(G33:U33,"OK"))</f>
        <v>15.0</v>
      </c>
      <c r="W33" s="17">
        <f>IF($B33="","",COUNTIF(G33:U33,"NOK"))</f>
        <v>0.0</v>
      </c>
      <c r="X33" s="9">
        <f>IF($B33="","",IF(V33+W33=0,"",V33/(V33+W33)))</f>
        <v>1.0</v>
      </c>
      <c r="Y33" s="17" t="str">
        <f>IF(X33="","",IF(X33&gt;=Setup!$C$7,"PASS","FAIL"))</f>
        <v>PASS</v>
      </c>
      <c r="Z33" s="17">
        <f>IF($B33="","",IF(W33=0,"",IF(COUNTIF(Findings!$B$6:$B$305,$A33)&gt;=W33,"OK","LOG FINDING")))</f>
        <v/>
      </c>
    </row>
    <row r="34" spans="1:26">
      <c r="A34" s="17" t="str">
        <f>IF($B34="","","A-1029")</f>
        <v>A-1029</v>
      </c>
      <c r="B34" s="24">
        <v>46069</v>
      </c>
      <c r="C34" s="23" t="s">
        <v>22</v>
      </c>
      <c r="D34" s="28" t="s">
        <v>16</v>
      </c>
      <c r="E34" s="23" t="s">
        <v>36</v>
      </c>
      <c r="F34" s="23" t="s">
        <v>43</v>
      </c>
      <c r="G34" s="28" t="s">
        <v>49</v>
      </c>
      <c r="H34" s="28" t="s">
        <v>49</v>
      </c>
      <c r="I34" s="28" t="s">
        <v>49</v>
      </c>
      <c r="J34" s="28" t="s">
        <v>51</v>
      </c>
      <c r="K34" s="28" t="s">
        <v>49</v>
      </c>
      <c r="L34" s="28" t="s">
        <v>49</v>
      </c>
      <c r="M34" s="28" t="s">
        <v>49</v>
      </c>
      <c r="N34" s="28" t="s">
        <v>49</v>
      </c>
      <c r="O34" s="28" t="s">
        <v>49</v>
      </c>
      <c r="P34" s="28" t="s">
        <v>49</v>
      </c>
      <c r="Q34" s="28" t="s">
        <v>49</v>
      </c>
      <c r="R34" s="28" t="s">
        <v>49</v>
      </c>
      <c r="S34" s="28" t="s">
        <v>49</v>
      </c>
      <c r="T34" s="28" t="s">
        <v>49</v>
      </c>
      <c r="U34" s="28" t="s">
        <v>49</v>
      </c>
      <c r="V34" s="17">
        <f>IF($B34="","",COUNTIF(G34:U34,"OK"))</f>
        <v>14.0</v>
      </c>
      <c r="W34" s="17">
        <f>IF($B34="","",COUNTIF(G34:U34,"NOK"))</f>
        <v>0.0</v>
      </c>
      <c r="X34" s="9">
        <f>IF($B34="","",IF(V34+W34=0,"",V34/(V34+W34)))</f>
        <v>1.0</v>
      </c>
      <c r="Y34" s="17" t="str">
        <f>IF(X34="","",IF(X34&gt;=Setup!$C$7,"PASS","FAIL"))</f>
        <v>PASS</v>
      </c>
      <c r="Z34" s="17">
        <f>IF($B34="","",IF(W34=0,"",IF(COUNTIF(Findings!$B$6:$B$305,$A34)&gt;=W34,"OK","LOG FINDING")))</f>
        <v/>
      </c>
    </row>
    <row r="35" spans="1:26">
      <c r="A35" s="17" t="str">
        <f>IF($B35="","","A-1030")</f>
        <v>A-1030</v>
      </c>
      <c r="B35" s="24">
        <v>46070</v>
      </c>
      <c r="C35" s="23" t="s">
        <v>27</v>
      </c>
      <c r="D35" s="28" t="s">
        <v>14</v>
      </c>
      <c r="E35" s="23" t="s">
        <v>33</v>
      </c>
      <c r="F35" s="23" t="s">
        <v>43</v>
      </c>
      <c r="G35" s="28" t="s">
        <v>49</v>
      </c>
      <c r="H35" s="28" t="s">
        <v>49</v>
      </c>
      <c r="I35" s="28" t="s">
        <v>49</v>
      </c>
      <c r="J35" s="28" t="s">
        <v>49</v>
      </c>
      <c r="K35" s="28" t="s">
        <v>49</v>
      </c>
      <c r="L35" s="28" t="s">
        <v>49</v>
      </c>
      <c r="M35" s="28" t="s">
        <v>49</v>
      </c>
      <c r="N35" s="28" t="s">
        <v>49</v>
      </c>
      <c r="O35" s="28" t="s">
        <v>49</v>
      </c>
      <c r="P35" s="28" t="s">
        <v>49</v>
      </c>
      <c r="Q35" s="28" t="s">
        <v>49</v>
      </c>
      <c r="R35" s="28" t="s">
        <v>49</v>
      </c>
      <c r="S35" s="28" t="s">
        <v>49</v>
      </c>
      <c r="T35" s="28" t="s">
        <v>49</v>
      </c>
      <c r="U35" s="28" t="s">
        <v>49</v>
      </c>
      <c r="V35" s="17">
        <f>IF($B35="","",COUNTIF(G35:U35,"OK"))</f>
        <v>15.0</v>
      </c>
      <c r="W35" s="17">
        <f>IF($B35="","",COUNTIF(G35:U35,"NOK"))</f>
        <v>0.0</v>
      </c>
      <c r="X35" s="9">
        <f>IF($B35="","",IF(V35+W35=0,"",V35/(V35+W35)))</f>
        <v>1.0</v>
      </c>
      <c r="Y35" s="17" t="str">
        <f>IF(X35="","",IF(X35&gt;=Setup!$C$7,"PASS","FAIL"))</f>
        <v>PASS</v>
      </c>
      <c r="Z35" s="17">
        <f>IF($B35="","",IF(W35=0,"",IF(COUNTIF(Findings!$B$6:$B$305,$A35)&gt;=W35,"OK","LOG FINDING")))</f>
        <v/>
      </c>
    </row>
    <row r="36" spans="1:26">
      <c r="A36" s="17" t="str">
        <f>IF($B36="","","A-1031")</f>
        <v>A-1031</v>
      </c>
      <c r="B36" s="24">
        <v>46070</v>
      </c>
      <c r="C36" s="23" t="s">
        <v>25</v>
      </c>
      <c r="D36" s="28" t="s">
        <v>14</v>
      </c>
      <c r="E36" s="23" t="s">
        <v>32</v>
      </c>
      <c r="F36" s="23" t="s">
        <v>44</v>
      </c>
      <c r="G36" s="28" t="s">
        <v>49</v>
      </c>
      <c r="H36" s="28" t="s">
        <v>49</v>
      </c>
      <c r="I36" s="28" t="s">
        <v>49</v>
      </c>
      <c r="J36" s="28" t="s">
        <v>49</v>
      </c>
      <c r="K36" s="28" t="s">
        <v>50</v>
      </c>
      <c r="L36" s="28" t="s">
        <v>49</v>
      </c>
      <c r="M36" s="28" t="s">
        <v>49</v>
      </c>
      <c r="N36" s="28" t="s">
        <v>50</v>
      </c>
      <c r="O36" s="28" t="s">
        <v>49</v>
      </c>
      <c r="P36" s="28" t="s">
        <v>49</v>
      </c>
      <c r="Q36" s="28" t="s">
        <v>49</v>
      </c>
      <c r="R36" s="28" t="s">
        <v>49</v>
      </c>
      <c r="S36" s="28" t="s">
        <v>49</v>
      </c>
      <c r="T36" s="28" t="s">
        <v>49</v>
      </c>
      <c r="U36" s="28" t="s">
        <v>49</v>
      </c>
      <c r="V36" s="17">
        <f>IF($B36="","",COUNTIF(G36:U36,"OK"))</f>
        <v>13.0</v>
      </c>
      <c r="W36" s="17">
        <f>IF($B36="","",COUNTIF(G36:U36,"NOK"))</f>
        <v>2.0</v>
      </c>
      <c r="X36" s="9">
        <f>IF($B36="","",IF(V36+W36=0,"",V36/(V36+W36)))</f>
        <v>0.8666666666666667</v>
      </c>
      <c r="Y36" s="17" t="str">
        <f>IF(X36="","",IF(X36&gt;=Setup!$C$7,"PASS","FAIL"))</f>
        <v>FAIL</v>
      </c>
      <c r="Z36" s="17" t="str">
        <f>IF($B36="","",IF(W36=0,"",IF(COUNTIF(Findings!$B$6:$B$305,$A36)&gt;=W36,"OK","LOG FINDING")))</f>
        <v>OK</v>
      </c>
    </row>
    <row r="37" spans="1:26">
      <c r="A37" s="17" t="str">
        <f>IF($B37="","","A-1032")</f>
        <v>A-1032</v>
      </c>
      <c r="B37" s="24">
        <v>46071</v>
      </c>
      <c r="C37" s="23" t="s">
        <v>22</v>
      </c>
      <c r="D37" s="28" t="s">
        <v>14</v>
      </c>
      <c r="E37" s="23" t="s">
        <v>33</v>
      </c>
      <c r="F37" s="23" t="s">
        <v>43</v>
      </c>
      <c r="G37" s="28" t="s">
        <v>49</v>
      </c>
      <c r="H37" s="28" t="s">
        <v>49</v>
      </c>
      <c r="I37" s="28" t="s">
        <v>49</v>
      </c>
      <c r="J37" s="28" t="s">
        <v>51</v>
      </c>
      <c r="K37" s="28" t="s">
        <v>49</v>
      </c>
      <c r="L37" s="28" t="s">
        <v>49</v>
      </c>
      <c r="M37" s="28" t="s">
        <v>49</v>
      </c>
      <c r="N37" s="28" t="s">
        <v>49</v>
      </c>
      <c r="O37" s="28" t="s">
        <v>49</v>
      </c>
      <c r="P37" s="28" t="s">
        <v>49</v>
      </c>
      <c r="Q37" s="28" t="s">
        <v>49</v>
      </c>
      <c r="R37" s="28" t="s">
        <v>49</v>
      </c>
      <c r="S37" s="28" t="s">
        <v>49</v>
      </c>
      <c r="T37" s="28" t="s">
        <v>49</v>
      </c>
      <c r="U37" s="28" t="s">
        <v>49</v>
      </c>
      <c r="V37" s="17">
        <f>IF($B37="","",COUNTIF(G37:U37,"OK"))</f>
        <v>14.0</v>
      </c>
      <c r="W37" s="17">
        <f>IF($B37="","",COUNTIF(G37:U37,"NOK"))</f>
        <v>0.0</v>
      </c>
      <c r="X37" s="9">
        <f>IF($B37="","",IF(V37+W37=0,"",V37/(V37+W37)))</f>
        <v>1.0</v>
      </c>
      <c r="Y37" s="17" t="str">
        <f>IF(X37="","",IF(X37&gt;=Setup!$C$7,"PASS","FAIL"))</f>
        <v>PASS</v>
      </c>
      <c r="Z37" s="17">
        <f>IF($B37="","",IF(W37=0,"",IF(COUNTIF(Findings!$B$6:$B$305,$A37)&gt;=W37,"OK","LOG FINDING")))</f>
        <v/>
      </c>
    </row>
    <row r="38" spans="1:26">
      <c r="A38" s="17" t="str">
        <f>IF($B38="","","A-1033")</f>
        <v>A-1033</v>
      </c>
      <c r="B38" s="24">
        <v>46073</v>
      </c>
      <c r="C38" s="23" t="s">
        <v>23</v>
      </c>
      <c r="D38" s="28" t="s">
        <v>14</v>
      </c>
      <c r="E38" s="23" t="s">
        <v>34</v>
      </c>
      <c r="F38" s="23" t="s">
        <v>43</v>
      </c>
      <c r="G38" s="28" t="s">
        <v>49</v>
      </c>
      <c r="H38" s="28" t="s">
        <v>49</v>
      </c>
      <c r="I38" s="28" t="s">
        <v>49</v>
      </c>
      <c r="J38" s="28" t="s">
        <v>49</v>
      </c>
      <c r="K38" s="28" t="s">
        <v>49</v>
      </c>
      <c r="L38" s="28" t="s">
        <v>49</v>
      </c>
      <c r="M38" s="28" t="s">
        <v>49</v>
      </c>
      <c r="N38" s="28" t="s">
        <v>49</v>
      </c>
      <c r="O38" s="28" t="s">
        <v>49</v>
      </c>
      <c r="P38" s="28" t="s">
        <v>49</v>
      </c>
      <c r="Q38" s="28" t="s">
        <v>51</v>
      </c>
      <c r="R38" s="28" t="s">
        <v>49</v>
      </c>
      <c r="S38" s="28" t="s">
        <v>49</v>
      </c>
      <c r="T38" s="28" t="s">
        <v>49</v>
      </c>
      <c r="U38" s="28" t="s">
        <v>49</v>
      </c>
      <c r="V38" s="17">
        <f>IF($B38="","",COUNTIF(G38:U38,"OK"))</f>
        <v>14.0</v>
      </c>
      <c r="W38" s="17">
        <f>IF($B38="","",COUNTIF(G38:U38,"NOK"))</f>
        <v>0.0</v>
      </c>
      <c r="X38" s="9">
        <f>IF($B38="","",IF(V38+W38=0,"",V38/(V38+W38)))</f>
        <v>1.0</v>
      </c>
      <c r="Y38" s="17" t="str">
        <f>IF(X38="","",IF(X38&gt;=Setup!$C$7,"PASS","FAIL"))</f>
        <v>PASS</v>
      </c>
      <c r="Z38" s="17">
        <f>IF($B38="","",IF(W38=0,"",IF(COUNTIF(Findings!$B$6:$B$305,$A38)&gt;=W38,"OK","LOG FINDING")))</f>
        <v/>
      </c>
    </row>
    <row r="39" spans="1:26">
      <c r="A39" s="17" t="str">
        <f>IF($B39="","","A-1034")</f>
        <v>A-1034</v>
      </c>
      <c r="B39" s="24">
        <v>46076</v>
      </c>
      <c r="C39" s="23" t="s">
        <v>27</v>
      </c>
      <c r="D39" s="28" t="s">
        <v>16</v>
      </c>
      <c r="E39" s="23" t="s">
        <v>35</v>
      </c>
      <c r="F39" s="23" t="s">
        <v>44</v>
      </c>
      <c r="G39" s="28" t="s">
        <v>50</v>
      </c>
      <c r="H39" s="28" t="s">
        <v>49</v>
      </c>
      <c r="I39" s="28" t="s">
        <v>49</v>
      </c>
      <c r="J39" s="28" t="s">
        <v>49</v>
      </c>
      <c r="K39" s="28" t="s">
        <v>49</v>
      </c>
      <c r="L39" s="28" t="s">
        <v>49</v>
      </c>
      <c r="M39" s="28" t="s">
        <v>49</v>
      </c>
      <c r="N39" s="28" t="s">
        <v>49</v>
      </c>
      <c r="O39" s="28" t="s">
        <v>49</v>
      </c>
      <c r="P39" s="28" t="s">
        <v>49</v>
      </c>
      <c r="Q39" s="28" t="s">
        <v>51</v>
      </c>
      <c r="R39" s="28" t="s">
        <v>49</v>
      </c>
      <c r="S39" s="28" t="s">
        <v>49</v>
      </c>
      <c r="T39" s="28" t="s">
        <v>49</v>
      </c>
      <c r="U39" s="28" t="s">
        <v>49</v>
      </c>
      <c r="V39" s="17">
        <f>IF($B39="","",COUNTIF(G39:U39,"OK"))</f>
        <v>13.0</v>
      </c>
      <c r="W39" s="17">
        <f>IF($B39="","",COUNTIF(G39:U39,"NOK"))</f>
        <v>1.0</v>
      </c>
      <c r="X39" s="9">
        <f>IF($B39="","",IF(V39+W39=0,"",V39/(V39+W39)))</f>
        <v>0.9285714285714286</v>
      </c>
      <c r="Y39" s="17" t="str">
        <f>IF(X39="","",IF(X39&gt;=Setup!$C$7,"PASS","FAIL"))</f>
        <v>FAIL</v>
      </c>
      <c r="Z39" s="17" t="str">
        <f>IF($B39="","",IF(W39=0,"",IF(COUNTIF(Findings!$B$6:$B$305,$A39)&gt;=W39,"OK","LOG FINDING")))</f>
        <v>OK</v>
      </c>
    </row>
    <row r="40" spans="1:26">
      <c r="A40" s="17" t="str">
        <f>IF($B40="","","A-1035")</f>
        <v>A-1035</v>
      </c>
      <c r="B40" s="24">
        <v>46078</v>
      </c>
      <c r="C40" s="23" t="s">
        <v>24</v>
      </c>
      <c r="D40" s="28" t="s">
        <v>18</v>
      </c>
      <c r="E40" s="23" t="s">
        <v>38</v>
      </c>
      <c r="F40" s="23" t="s">
        <v>43</v>
      </c>
      <c r="G40" s="28" t="s">
        <v>49</v>
      </c>
      <c r="H40" s="28" t="s">
        <v>49</v>
      </c>
      <c r="I40" s="28" t="s">
        <v>49</v>
      </c>
      <c r="J40" s="28" t="s">
        <v>49</v>
      </c>
      <c r="K40" s="28" t="s">
        <v>49</v>
      </c>
      <c r="L40" s="28" t="s">
        <v>49</v>
      </c>
      <c r="M40" s="28" t="s">
        <v>49</v>
      </c>
      <c r="N40" s="28" t="s">
        <v>49</v>
      </c>
      <c r="O40" s="28" t="s">
        <v>49</v>
      </c>
      <c r="P40" s="28" t="s">
        <v>49</v>
      </c>
      <c r="Q40" s="28" t="s">
        <v>49</v>
      </c>
      <c r="R40" s="28" t="s">
        <v>49</v>
      </c>
      <c r="S40" s="28" t="s">
        <v>49</v>
      </c>
      <c r="T40" s="28" t="s">
        <v>49</v>
      </c>
      <c r="U40" s="28" t="s">
        <v>49</v>
      </c>
      <c r="V40" s="17">
        <f>IF($B40="","",COUNTIF(G40:U40,"OK"))</f>
        <v>15.0</v>
      </c>
      <c r="W40" s="17">
        <f>IF($B40="","",COUNTIF(G40:U40,"NOK"))</f>
        <v>0.0</v>
      </c>
      <c r="X40" s="9">
        <f>IF($B40="","",IF(V40+W40=0,"",V40/(V40+W40)))</f>
        <v>1.0</v>
      </c>
      <c r="Y40" s="17" t="str">
        <f>IF(X40="","",IF(X40&gt;=Setup!$C$7,"PASS","FAIL"))</f>
        <v>PASS</v>
      </c>
      <c r="Z40" s="17">
        <f>IF($B40="","",IF(W40=0,"",IF(COUNTIF(Findings!$B$6:$B$305,$A40)&gt;=W40,"OK","LOG FINDING")))</f>
        <v/>
      </c>
    </row>
    <row r="41" spans="1:26">
      <c r="A41" s="17" t="str">
        <f>IF($B41="","","A-1036")</f>
        <v>A-1036</v>
      </c>
      <c r="B41" s="24">
        <v>46078</v>
      </c>
      <c r="C41" s="23" t="s">
        <v>22</v>
      </c>
      <c r="D41" s="28" t="s">
        <v>18</v>
      </c>
      <c r="E41" s="23" t="s">
        <v>37</v>
      </c>
      <c r="F41" s="23" t="s">
        <v>44</v>
      </c>
      <c r="G41" s="28" t="s">
        <v>49</v>
      </c>
      <c r="H41" s="28" t="s">
        <v>49</v>
      </c>
      <c r="I41" s="28" t="s">
        <v>49</v>
      </c>
      <c r="J41" s="28" t="s">
        <v>51</v>
      </c>
      <c r="K41" s="28" t="s">
        <v>49</v>
      </c>
      <c r="L41" s="28" t="s">
        <v>49</v>
      </c>
      <c r="M41" s="28" t="s">
        <v>49</v>
      </c>
      <c r="N41" s="28" t="s">
        <v>49</v>
      </c>
      <c r="O41" s="28" t="s">
        <v>49</v>
      </c>
      <c r="P41" s="28" t="s">
        <v>49</v>
      </c>
      <c r="Q41" s="28" t="s">
        <v>49</v>
      </c>
      <c r="R41" s="28" t="s">
        <v>49</v>
      </c>
      <c r="S41" s="28" t="s">
        <v>49</v>
      </c>
      <c r="T41" s="28" t="s">
        <v>49</v>
      </c>
      <c r="U41" s="28" t="s">
        <v>49</v>
      </c>
      <c r="V41" s="17">
        <f>IF($B41="","",COUNTIF(G41:U41,"OK"))</f>
        <v>14.0</v>
      </c>
      <c r="W41" s="17">
        <f>IF($B41="","",COUNTIF(G41:U41,"NOK"))</f>
        <v>0.0</v>
      </c>
      <c r="X41" s="9">
        <f>IF($B41="","",IF(V41+W41=0,"",V41/(V41+W41)))</f>
        <v>1.0</v>
      </c>
      <c r="Y41" s="17" t="str">
        <f>IF(X41="","",IF(X41&gt;=Setup!$C$7,"PASS","FAIL"))</f>
        <v>PASS</v>
      </c>
      <c r="Z41" s="17">
        <f>IF($B41="","",IF(W41=0,"",IF(COUNTIF(Findings!$B$6:$B$305,$A41)&gt;=W41,"OK","LOG FINDING")))</f>
        <v/>
      </c>
    </row>
    <row r="42" spans="1:26">
      <c r="A42" s="17" t="str">
        <f>IF($B42="","","A-1037")</f>
        <v>A-1037</v>
      </c>
      <c r="B42" s="24">
        <v>46080</v>
      </c>
      <c r="C42" s="23" t="s">
        <v>24</v>
      </c>
      <c r="D42" s="28" t="s">
        <v>14</v>
      </c>
      <c r="E42" s="23" t="s">
        <v>32</v>
      </c>
      <c r="F42" s="23" t="s">
        <v>44</v>
      </c>
      <c r="G42" s="28" t="s">
        <v>49</v>
      </c>
      <c r="H42" s="28" t="s">
        <v>49</v>
      </c>
      <c r="I42" s="28" t="s">
        <v>49</v>
      </c>
      <c r="J42" s="28" t="s">
        <v>49</v>
      </c>
      <c r="K42" s="28" t="s">
        <v>49</v>
      </c>
      <c r="L42" s="28" t="s">
        <v>49</v>
      </c>
      <c r="M42" s="28" t="s">
        <v>49</v>
      </c>
      <c r="N42" s="28" t="s">
        <v>49</v>
      </c>
      <c r="O42" s="28" t="s">
        <v>49</v>
      </c>
      <c r="P42" s="28" t="s">
        <v>49</v>
      </c>
      <c r="Q42" s="28" t="s">
        <v>49</v>
      </c>
      <c r="R42" s="28" t="s">
        <v>49</v>
      </c>
      <c r="S42" s="28" t="s">
        <v>49</v>
      </c>
      <c r="T42" s="28" t="s">
        <v>49</v>
      </c>
      <c r="U42" s="28" t="s">
        <v>49</v>
      </c>
      <c r="V42" s="17">
        <f>IF($B42="","",COUNTIF(G42:U42,"OK"))</f>
        <v>15.0</v>
      </c>
      <c r="W42" s="17">
        <f>IF($B42="","",COUNTIF(G42:U42,"NOK"))</f>
        <v>0.0</v>
      </c>
      <c r="X42" s="9">
        <f>IF($B42="","",IF(V42+W42=0,"",V42/(V42+W42)))</f>
        <v>1.0</v>
      </c>
      <c r="Y42" s="17" t="str">
        <f>IF(X42="","",IF(X42&gt;=Setup!$C$7,"PASS","FAIL"))</f>
        <v>PASS</v>
      </c>
      <c r="Z42" s="17">
        <f>IF($B42="","",IF(W42=0,"",IF(COUNTIF(Findings!$B$6:$B$305,$A42)&gt;=W42,"OK","LOG FINDING")))</f>
        <v/>
      </c>
    </row>
    <row r="43" spans="1:26">
      <c r="A43" s="17" t="str">
        <f>IF($B43="","","A-1038")</f>
        <v>A-1038</v>
      </c>
      <c r="B43" s="24">
        <v>46080</v>
      </c>
      <c r="C43" s="23" t="s">
        <v>26</v>
      </c>
      <c r="D43" s="28" t="s">
        <v>18</v>
      </c>
      <c r="E43" s="23" t="s">
        <v>37</v>
      </c>
      <c r="F43" s="23" t="s">
        <v>43</v>
      </c>
      <c r="G43" s="28" t="s">
        <v>49</v>
      </c>
      <c r="H43" s="28" t="s">
        <v>49</v>
      </c>
      <c r="I43" s="28" t="s">
        <v>49</v>
      </c>
      <c r="J43" s="28" t="s">
        <v>49</v>
      </c>
      <c r="K43" s="28" t="s">
        <v>49</v>
      </c>
      <c r="L43" s="28" t="s">
        <v>49</v>
      </c>
      <c r="M43" s="28" t="s">
        <v>49</v>
      </c>
      <c r="N43" s="28" t="s">
        <v>49</v>
      </c>
      <c r="O43" s="28" t="s">
        <v>49</v>
      </c>
      <c r="P43" s="28" t="s">
        <v>49</v>
      </c>
      <c r="Q43" s="28" t="s">
        <v>49</v>
      </c>
      <c r="R43" s="28" t="s">
        <v>49</v>
      </c>
      <c r="S43" s="28" t="s">
        <v>49</v>
      </c>
      <c r="T43" s="28" t="s">
        <v>49</v>
      </c>
      <c r="U43" s="28" t="s">
        <v>49</v>
      </c>
      <c r="V43" s="17">
        <f>IF($B43="","",COUNTIF(G43:U43,"OK"))</f>
        <v>15.0</v>
      </c>
      <c r="W43" s="17">
        <f>IF($B43="","",COUNTIF(G43:U43,"NOK"))</f>
        <v>0.0</v>
      </c>
      <c r="X43" s="9">
        <f>IF($B43="","",IF(V43+W43=0,"",V43/(V43+W43)))</f>
        <v>1.0</v>
      </c>
      <c r="Y43" s="17" t="str">
        <f>IF(X43="","",IF(X43&gt;=Setup!$C$7,"PASS","FAIL"))</f>
        <v>PASS</v>
      </c>
      <c r="Z43" s="17">
        <f>IF($B43="","",IF(W43=0,"",IF(COUNTIF(Findings!$B$6:$B$305,$A43)&gt;=W43,"OK","LOG FINDING")))</f>
        <v/>
      </c>
    </row>
    <row r="44" spans="1:26">
      <c r="A44" s="17" t="str">
        <f>IF($B44="","","A-1039")</f>
        <v>A-1039</v>
      </c>
      <c r="B44" s="24">
        <v>46085</v>
      </c>
      <c r="C44" s="23" t="s">
        <v>24</v>
      </c>
      <c r="D44" s="28" t="s">
        <v>14</v>
      </c>
      <c r="E44" s="23" t="s">
        <v>32</v>
      </c>
      <c r="F44" s="23" t="s">
        <v>43</v>
      </c>
      <c r="G44" s="28" t="s">
        <v>50</v>
      </c>
      <c r="H44" s="28" t="s">
        <v>49</v>
      </c>
      <c r="I44" s="28" t="s">
        <v>49</v>
      </c>
      <c r="J44" s="28" t="s">
        <v>49</v>
      </c>
      <c r="K44" s="28" t="s">
        <v>49</v>
      </c>
      <c r="L44" s="28" t="s">
        <v>49</v>
      </c>
      <c r="M44" s="28" t="s">
        <v>49</v>
      </c>
      <c r="N44" s="28" t="s">
        <v>49</v>
      </c>
      <c r="O44" s="28" t="s">
        <v>49</v>
      </c>
      <c r="P44" s="28" t="s">
        <v>50</v>
      </c>
      <c r="Q44" s="28" t="s">
        <v>51</v>
      </c>
      <c r="R44" s="28" t="s">
        <v>49</v>
      </c>
      <c r="S44" s="28" t="s">
        <v>49</v>
      </c>
      <c r="T44" s="28" t="s">
        <v>49</v>
      </c>
      <c r="U44" s="28" t="s">
        <v>49</v>
      </c>
      <c r="V44" s="17">
        <f>IF($B44="","",COUNTIF(G44:U44,"OK"))</f>
        <v>12.0</v>
      </c>
      <c r="W44" s="17">
        <f>IF($B44="","",COUNTIF(G44:U44,"NOK"))</f>
        <v>2.0</v>
      </c>
      <c r="X44" s="9">
        <f>IF($B44="","",IF(V44+W44=0,"",V44/(V44+W44)))</f>
        <v>0.8571428571428571</v>
      </c>
      <c r="Y44" s="17" t="str">
        <f>IF(X44="","",IF(X44&gt;=Setup!$C$7,"PASS","FAIL"))</f>
        <v>FAIL</v>
      </c>
      <c r="Z44" s="17" t="str">
        <f>IF($B44="","",IF(W44=0,"",IF(COUNTIF(Findings!$B$6:$B$305,$A44)&gt;=W44,"OK","LOG FINDING")))</f>
        <v>OK</v>
      </c>
    </row>
    <row r="45" spans="1:26">
      <c r="A45" s="17" t="str">
        <f>IF($B45="","","A-1040")</f>
        <v>A-1040</v>
      </c>
      <c r="B45" s="24">
        <v>46086</v>
      </c>
      <c r="C45" s="23" t="s">
        <v>25</v>
      </c>
      <c r="D45" s="28" t="s">
        <v>16</v>
      </c>
      <c r="E45" s="23" t="s">
        <v>35</v>
      </c>
      <c r="F45" s="23" t="s">
        <v>43</v>
      </c>
      <c r="G45" s="28" t="s">
        <v>49</v>
      </c>
      <c r="H45" s="28" t="s">
        <v>49</v>
      </c>
      <c r="I45" s="28" t="s">
        <v>49</v>
      </c>
      <c r="J45" s="28" t="s">
        <v>51</v>
      </c>
      <c r="K45" s="28" t="s">
        <v>49</v>
      </c>
      <c r="L45" s="28" t="s">
        <v>49</v>
      </c>
      <c r="M45" s="28" t="s">
        <v>49</v>
      </c>
      <c r="N45" s="28" t="s">
        <v>49</v>
      </c>
      <c r="O45" s="28" t="s">
        <v>49</v>
      </c>
      <c r="P45" s="28" t="s">
        <v>49</v>
      </c>
      <c r="Q45" s="28" t="s">
        <v>49</v>
      </c>
      <c r="R45" s="28" t="s">
        <v>49</v>
      </c>
      <c r="S45" s="28" t="s">
        <v>49</v>
      </c>
      <c r="T45" s="28" t="s">
        <v>49</v>
      </c>
      <c r="U45" s="28" t="s">
        <v>49</v>
      </c>
      <c r="V45" s="17">
        <f>IF($B45="","",COUNTIF(G45:U45,"OK"))</f>
        <v>14.0</v>
      </c>
      <c r="W45" s="17">
        <f>IF($B45="","",COUNTIF(G45:U45,"NOK"))</f>
        <v>0.0</v>
      </c>
      <c r="X45" s="9">
        <f>IF($B45="","",IF(V45+W45=0,"",V45/(V45+W45)))</f>
        <v>1.0</v>
      </c>
      <c r="Y45" s="17" t="str">
        <f>IF(X45="","",IF(X45&gt;=Setup!$C$7,"PASS","FAIL"))</f>
        <v>PASS</v>
      </c>
      <c r="Z45" s="17">
        <f>IF($B45="","",IF(W45=0,"",IF(COUNTIF(Findings!$B$6:$B$305,$A45)&gt;=W45,"OK","LOG FINDING")))</f>
        <v/>
      </c>
    </row>
    <row r="46" spans="1:26">
      <c r="A46" s="17" t="str">
        <f>IF($B46="","","A-1041")</f>
        <v>A-1041</v>
      </c>
      <c r="B46" s="24">
        <v>46087</v>
      </c>
      <c r="C46" s="23" t="s">
        <v>23</v>
      </c>
      <c r="D46" s="28" t="s">
        <v>14</v>
      </c>
      <c r="E46" s="23" t="s">
        <v>32</v>
      </c>
      <c r="F46" s="23" t="s">
        <v>43</v>
      </c>
      <c r="G46" s="28" t="s">
        <v>49</v>
      </c>
      <c r="H46" s="28" t="s">
        <v>49</v>
      </c>
      <c r="I46" s="28" t="s">
        <v>49</v>
      </c>
      <c r="J46" s="28" t="s">
        <v>49</v>
      </c>
      <c r="K46" s="28" t="s">
        <v>49</v>
      </c>
      <c r="L46" s="28" t="s">
        <v>49</v>
      </c>
      <c r="M46" s="28" t="s">
        <v>49</v>
      </c>
      <c r="N46" s="28" t="s">
        <v>49</v>
      </c>
      <c r="O46" s="28" t="s">
        <v>49</v>
      </c>
      <c r="P46" s="28" t="s">
        <v>49</v>
      </c>
      <c r="Q46" s="28" t="s">
        <v>49</v>
      </c>
      <c r="R46" s="28" t="s">
        <v>49</v>
      </c>
      <c r="S46" s="28" t="s">
        <v>49</v>
      </c>
      <c r="T46" s="28" t="s">
        <v>49</v>
      </c>
      <c r="U46" s="28" t="s">
        <v>49</v>
      </c>
      <c r="V46" s="17">
        <f>IF($B46="","",COUNTIF(G46:U46,"OK"))</f>
        <v>15.0</v>
      </c>
      <c r="W46" s="17">
        <f>IF($B46="","",COUNTIF(G46:U46,"NOK"))</f>
        <v>0.0</v>
      </c>
      <c r="X46" s="9">
        <f>IF($B46="","",IF(V46+W46=0,"",V46/(V46+W46)))</f>
        <v>1.0</v>
      </c>
      <c r="Y46" s="17" t="str">
        <f>IF(X46="","",IF(X46&gt;=Setup!$C$7,"PASS","FAIL"))</f>
        <v>PASS</v>
      </c>
      <c r="Z46" s="17">
        <f>IF($B46="","",IF(W46=0,"",IF(COUNTIF(Findings!$B$6:$B$305,$A46)&gt;=W46,"OK","LOG FINDING")))</f>
        <v/>
      </c>
    </row>
    <row r="47" spans="1:26">
      <c r="A47" s="17" t="str">
        <f>IF($B47="","","A-1042")</f>
        <v>A-1042</v>
      </c>
      <c r="B47" s="24">
        <v>46090</v>
      </c>
      <c r="C47" s="23" t="s">
        <v>25</v>
      </c>
      <c r="D47" s="28" t="s">
        <v>14</v>
      </c>
      <c r="E47" s="23" t="s">
        <v>32</v>
      </c>
      <c r="F47" s="23" t="s">
        <v>43</v>
      </c>
      <c r="G47" s="28" t="s">
        <v>49</v>
      </c>
      <c r="H47" s="28" t="s">
        <v>49</v>
      </c>
      <c r="I47" s="28" t="s">
        <v>49</v>
      </c>
      <c r="J47" s="28" t="s">
        <v>49</v>
      </c>
      <c r="K47" s="28" t="s">
        <v>49</v>
      </c>
      <c r="L47" s="28" t="s">
        <v>49</v>
      </c>
      <c r="M47" s="28" t="s">
        <v>49</v>
      </c>
      <c r="N47" s="28" t="s">
        <v>50</v>
      </c>
      <c r="O47" s="28" t="s">
        <v>49</v>
      </c>
      <c r="P47" s="28" t="s">
        <v>49</v>
      </c>
      <c r="Q47" s="28" t="s">
        <v>49</v>
      </c>
      <c r="R47" s="28" t="s">
        <v>49</v>
      </c>
      <c r="S47" s="28" t="s">
        <v>49</v>
      </c>
      <c r="T47" s="28" t="s">
        <v>49</v>
      </c>
      <c r="U47" s="28" t="s">
        <v>49</v>
      </c>
      <c r="V47" s="17">
        <f>IF($B47="","",COUNTIF(G47:U47,"OK"))</f>
        <v>14.0</v>
      </c>
      <c r="W47" s="17">
        <f>IF($B47="","",COUNTIF(G47:U47,"NOK"))</f>
        <v>1.0</v>
      </c>
      <c r="X47" s="9">
        <f>IF($B47="","",IF(V47+W47=0,"",V47/(V47+W47)))</f>
        <v>0.9333333333333333</v>
      </c>
      <c r="Y47" s="17" t="str">
        <f>IF(X47="","",IF(X47&gt;=Setup!$C$7,"PASS","FAIL"))</f>
        <v>FAIL</v>
      </c>
      <c r="Z47" s="17" t="str">
        <f>IF($B47="","",IF(W47=0,"",IF(COUNTIF(Findings!$B$6:$B$305,$A47)&gt;=W47,"OK","LOG FINDING")))</f>
        <v>OK</v>
      </c>
    </row>
    <row r="48" spans="1:26">
      <c r="A48" s="17" t="str">
        <f>IF($B48="","","A-1043")</f>
        <v>A-1043</v>
      </c>
      <c r="B48" s="24">
        <v>46093</v>
      </c>
      <c r="C48" s="23" t="s">
        <v>24</v>
      </c>
      <c r="D48" s="28" t="s">
        <v>16</v>
      </c>
      <c r="E48" s="23" t="s">
        <v>35</v>
      </c>
      <c r="F48" s="23" t="s">
        <v>44</v>
      </c>
      <c r="G48" s="28" t="s">
        <v>49</v>
      </c>
      <c r="H48" s="28" t="s">
        <v>49</v>
      </c>
      <c r="I48" s="28" t="s">
        <v>49</v>
      </c>
      <c r="J48" s="28" t="s">
        <v>51</v>
      </c>
      <c r="K48" s="28" t="s">
        <v>49</v>
      </c>
      <c r="L48" s="28" t="s">
        <v>49</v>
      </c>
      <c r="M48" s="28" t="s">
        <v>49</v>
      </c>
      <c r="N48" s="28" t="s">
        <v>49</v>
      </c>
      <c r="O48" s="28" t="s">
        <v>49</v>
      </c>
      <c r="P48" s="28" t="s">
        <v>49</v>
      </c>
      <c r="Q48" s="28" t="s">
        <v>51</v>
      </c>
      <c r="R48" s="28" t="s">
        <v>49</v>
      </c>
      <c r="S48" s="28" t="s">
        <v>49</v>
      </c>
      <c r="T48" s="28" t="s">
        <v>50</v>
      </c>
      <c r="U48" s="28" t="s">
        <v>49</v>
      </c>
      <c r="V48" s="17">
        <f>IF($B48="","",COUNTIF(G48:U48,"OK"))</f>
        <v>12.0</v>
      </c>
      <c r="W48" s="17">
        <f>IF($B48="","",COUNTIF(G48:U48,"NOK"))</f>
        <v>1.0</v>
      </c>
      <c r="X48" s="9">
        <f>IF($B48="","",IF(V48+W48=0,"",V48/(V48+W48)))</f>
        <v>0.9230769230769231</v>
      </c>
      <c r="Y48" s="17" t="str">
        <f>IF(X48="","",IF(X48&gt;=Setup!$C$7,"PASS","FAIL"))</f>
        <v>FAIL</v>
      </c>
      <c r="Z48" s="17" t="str">
        <f>IF($B48="","",IF(W48=0,"",IF(COUNTIF(Findings!$B$6:$B$305,$A48)&gt;=W48,"OK","LOG FINDING")))</f>
        <v>OK</v>
      </c>
    </row>
    <row r="49" spans="1:26">
      <c r="A49" s="17" t="str">
        <f>IF($B49="","","A-1044")</f>
        <v>A-1044</v>
      </c>
      <c r="B49" s="24">
        <v>46093</v>
      </c>
      <c r="C49" s="23" t="s">
        <v>23</v>
      </c>
      <c r="D49" s="28" t="s">
        <v>18</v>
      </c>
      <c r="E49" s="23" t="s">
        <v>37</v>
      </c>
      <c r="F49" s="23" t="s">
        <v>44</v>
      </c>
      <c r="G49" s="28" t="s">
        <v>49</v>
      </c>
      <c r="H49" s="28" t="s">
        <v>49</v>
      </c>
      <c r="I49" s="28" t="s">
        <v>49</v>
      </c>
      <c r="J49" s="28" t="s">
        <v>49</v>
      </c>
      <c r="K49" s="28" t="s">
        <v>49</v>
      </c>
      <c r="L49" s="28" t="s">
        <v>49</v>
      </c>
      <c r="M49" s="28" t="s">
        <v>50</v>
      </c>
      <c r="N49" s="28" t="s">
        <v>49</v>
      </c>
      <c r="O49" s="28" t="s">
        <v>49</v>
      </c>
      <c r="P49" s="28" t="s">
        <v>49</v>
      </c>
      <c r="Q49" s="28" t="s">
        <v>49</v>
      </c>
      <c r="R49" s="28" t="s">
        <v>49</v>
      </c>
      <c r="S49" s="28" t="s">
        <v>49</v>
      </c>
      <c r="T49" s="28" t="s">
        <v>49</v>
      </c>
      <c r="U49" s="28" t="s">
        <v>49</v>
      </c>
      <c r="V49" s="17">
        <f>IF($B49="","",COUNTIF(G49:U49,"OK"))</f>
        <v>14.0</v>
      </c>
      <c r="W49" s="17">
        <f>IF($B49="","",COUNTIF(G49:U49,"NOK"))</f>
        <v>1.0</v>
      </c>
      <c r="X49" s="9">
        <f>IF($B49="","",IF(V49+W49=0,"",V49/(V49+W49)))</f>
        <v>0.9333333333333333</v>
      </c>
      <c r="Y49" s="17" t="str">
        <f>IF(X49="","",IF(X49&gt;=Setup!$C$7,"PASS","FAIL"))</f>
        <v>FAIL</v>
      </c>
      <c r="Z49" s="17" t="str">
        <f>IF($B49="","",IF(W49=0,"",IF(COUNTIF(Findings!$B$6:$B$305,$A49)&gt;=W49,"OK","LOG FINDING")))</f>
        <v>OK</v>
      </c>
    </row>
    <row r="50" spans="1:26">
      <c r="A50" s="17" t="str">
        <f>IF($B50="","","A-1045")</f>
        <v>A-1045</v>
      </c>
      <c r="B50" s="24">
        <v>46098</v>
      </c>
      <c r="C50" s="23" t="s">
        <v>23</v>
      </c>
      <c r="D50" s="28" t="s">
        <v>14</v>
      </c>
      <c r="E50" s="23" t="s">
        <v>32</v>
      </c>
      <c r="F50" s="23" t="s">
        <v>44</v>
      </c>
      <c r="G50" s="28" t="s">
        <v>49</v>
      </c>
      <c r="H50" s="28" t="s">
        <v>49</v>
      </c>
      <c r="I50" s="28" t="s">
        <v>49</v>
      </c>
      <c r="J50" s="28" t="s">
        <v>49</v>
      </c>
      <c r="K50" s="28" t="s">
        <v>49</v>
      </c>
      <c r="L50" s="28" t="s">
        <v>49</v>
      </c>
      <c r="M50" s="28" t="s">
        <v>49</v>
      </c>
      <c r="N50" s="28" t="s">
        <v>49</v>
      </c>
      <c r="O50" s="28" t="s">
        <v>49</v>
      </c>
      <c r="P50" s="28" t="s">
        <v>49</v>
      </c>
      <c r="Q50" s="28" t="s">
        <v>49</v>
      </c>
      <c r="R50" s="28" t="s">
        <v>49</v>
      </c>
      <c r="S50" s="28" t="s">
        <v>49</v>
      </c>
      <c r="T50" s="28" t="s">
        <v>49</v>
      </c>
      <c r="U50" s="28" t="s">
        <v>49</v>
      </c>
      <c r="V50" s="17">
        <f>IF($B50="","",COUNTIF(G50:U50,"OK"))</f>
        <v>15.0</v>
      </c>
      <c r="W50" s="17">
        <f>IF($B50="","",COUNTIF(G50:U50,"NOK"))</f>
        <v>0.0</v>
      </c>
      <c r="X50" s="9">
        <f>IF($B50="","",IF(V50+W50=0,"",V50/(V50+W50)))</f>
        <v>1.0</v>
      </c>
      <c r="Y50" s="17" t="str">
        <f>IF(X50="","",IF(X50&gt;=Setup!$C$7,"PASS","FAIL"))</f>
        <v>PASS</v>
      </c>
      <c r="Z50" s="17">
        <f>IF($B50="","",IF(W50=0,"",IF(COUNTIF(Findings!$B$6:$B$305,$A50)&gt;=W50,"OK","LOG FINDING")))</f>
        <v/>
      </c>
    </row>
    <row r="51" spans="1:26">
      <c r="A51" s="17" t="str">
        <f>IF($B51="","","A-1046")</f>
        <v>A-1046</v>
      </c>
      <c r="B51" s="24">
        <v>46098</v>
      </c>
      <c r="C51" s="23" t="s">
        <v>22</v>
      </c>
      <c r="D51" s="28" t="s">
        <v>16</v>
      </c>
      <c r="E51" s="23" t="s">
        <v>35</v>
      </c>
      <c r="F51" s="23" t="s">
        <v>43</v>
      </c>
      <c r="G51" s="28" t="s">
        <v>49</v>
      </c>
      <c r="H51" s="28" t="s">
        <v>49</v>
      </c>
      <c r="I51" s="28" t="s">
        <v>49</v>
      </c>
      <c r="J51" s="28" t="s">
        <v>49</v>
      </c>
      <c r="K51" s="28" t="s">
        <v>49</v>
      </c>
      <c r="L51" s="28" t="s">
        <v>49</v>
      </c>
      <c r="M51" s="28" t="s">
        <v>49</v>
      </c>
      <c r="N51" s="28" t="s">
        <v>49</v>
      </c>
      <c r="O51" s="28" t="s">
        <v>49</v>
      </c>
      <c r="P51" s="28" t="s">
        <v>49</v>
      </c>
      <c r="Q51" s="28" t="s">
        <v>49</v>
      </c>
      <c r="R51" s="28" t="s">
        <v>49</v>
      </c>
      <c r="S51" s="28" t="s">
        <v>49</v>
      </c>
      <c r="T51" s="28" t="s">
        <v>49</v>
      </c>
      <c r="U51" s="28" t="s">
        <v>49</v>
      </c>
      <c r="V51" s="17">
        <f>IF($B51="","",COUNTIF(G51:U51,"OK"))</f>
        <v>15.0</v>
      </c>
      <c r="W51" s="17">
        <f>IF($B51="","",COUNTIF(G51:U51,"NOK"))</f>
        <v>0.0</v>
      </c>
      <c r="X51" s="9">
        <f>IF($B51="","",IF(V51+W51=0,"",V51/(V51+W51)))</f>
        <v>1.0</v>
      </c>
      <c r="Y51" s="17" t="str">
        <f>IF(X51="","",IF(X51&gt;=Setup!$C$7,"PASS","FAIL"))</f>
        <v>PASS</v>
      </c>
      <c r="Z51" s="17">
        <f>IF($B51="","",IF(W51=0,"",IF(COUNTIF(Findings!$B$6:$B$305,$A51)&gt;=W51,"OK","LOG FINDING")))</f>
        <v/>
      </c>
    </row>
    <row r="52" spans="1:26">
      <c r="A52" s="17" t="str">
        <f>IF($B52="","","A-1047")</f>
        <v>A-1047</v>
      </c>
      <c r="B52" s="24">
        <v>46099</v>
      </c>
      <c r="C52" s="23" t="s">
        <v>26</v>
      </c>
      <c r="D52" s="28" t="s">
        <v>14</v>
      </c>
      <c r="E52" s="23" t="s">
        <v>32</v>
      </c>
      <c r="F52" s="23" t="s">
        <v>43</v>
      </c>
      <c r="G52" s="28" t="s">
        <v>49</v>
      </c>
      <c r="H52" s="28" t="s">
        <v>49</v>
      </c>
      <c r="I52" s="28" t="s">
        <v>49</v>
      </c>
      <c r="J52" s="28" t="s">
        <v>49</v>
      </c>
      <c r="K52" s="28" t="s">
        <v>49</v>
      </c>
      <c r="L52" s="28" t="s">
        <v>49</v>
      </c>
      <c r="M52" s="28" t="s">
        <v>49</v>
      </c>
      <c r="N52" s="28" t="s">
        <v>49</v>
      </c>
      <c r="O52" s="28" t="s">
        <v>49</v>
      </c>
      <c r="P52" s="28" t="s">
        <v>49</v>
      </c>
      <c r="Q52" s="28" t="s">
        <v>49</v>
      </c>
      <c r="R52" s="28" t="s">
        <v>49</v>
      </c>
      <c r="S52" s="28" t="s">
        <v>49</v>
      </c>
      <c r="T52" s="28" t="s">
        <v>49</v>
      </c>
      <c r="U52" s="28" t="s">
        <v>49</v>
      </c>
      <c r="V52" s="17">
        <f>IF($B52="","",COUNTIF(G52:U52,"OK"))</f>
        <v>15.0</v>
      </c>
      <c r="W52" s="17">
        <f>IF($B52="","",COUNTIF(G52:U52,"NOK"))</f>
        <v>0.0</v>
      </c>
      <c r="X52" s="9">
        <f>IF($B52="","",IF(V52+W52=0,"",V52/(V52+W52)))</f>
        <v>1.0</v>
      </c>
      <c r="Y52" s="17" t="str">
        <f>IF(X52="","",IF(X52&gt;=Setup!$C$7,"PASS","FAIL"))</f>
        <v>PASS</v>
      </c>
      <c r="Z52" s="17">
        <f>IF($B52="","",IF(W52=0,"",IF(COUNTIF(Findings!$B$6:$B$305,$A52)&gt;=W52,"OK","LOG FINDING")))</f>
        <v/>
      </c>
    </row>
    <row r="53" spans="1:26">
      <c r="A53" s="17" t="str">
        <f>IF($B53="","","A-1048")</f>
        <v>A-1048</v>
      </c>
      <c r="B53" s="24">
        <v>46104</v>
      </c>
      <c r="C53" s="23" t="s">
        <v>26</v>
      </c>
      <c r="D53" s="28" t="s">
        <v>16</v>
      </c>
      <c r="E53" s="23" t="s">
        <v>36</v>
      </c>
      <c r="F53" s="23" t="s">
        <v>44</v>
      </c>
      <c r="G53" s="28" t="s">
        <v>49</v>
      </c>
      <c r="H53" s="28" t="s">
        <v>49</v>
      </c>
      <c r="I53" s="28" t="s">
        <v>49</v>
      </c>
      <c r="J53" s="28" t="s">
        <v>49</v>
      </c>
      <c r="K53" s="28" t="s">
        <v>49</v>
      </c>
      <c r="L53" s="28" t="s">
        <v>49</v>
      </c>
      <c r="M53" s="28" t="s">
        <v>49</v>
      </c>
      <c r="N53" s="28" t="s">
        <v>49</v>
      </c>
      <c r="O53" s="28" t="s">
        <v>49</v>
      </c>
      <c r="P53" s="28" t="s">
        <v>49</v>
      </c>
      <c r="Q53" s="28" t="s">
        <v>49</v>
      </c>
      <c r="R53" s="28" t="s">
        <v>49</v>
      </c>
      <c r="S53" s="28" t="s">
        <v>49</v>
      </c>
      <c r="T53" s="28" t="s">
        <v>49</v>
      </c>
      <c r="U53" s="28" t="s">
        <v>49</v>
      </c>
      <c r="V53" s="17">
        <f>IF($B53="","",COUNTIF(G53:U53,"OK"))</f>
        <v>15.0</v>
      </c>
      <c r="W53" s="17">
        <f>IF($B53="","",COUNTIF(G53:U53,"NOK"))</f>
        <v>0.0</v>
      </c>
      <c r="X53" s="9">
        <f>IF($B53="","",IF(V53+W53=0,"",V53/(V53+W53)))</f>
        <v>1.0</v>
      </c>
      <c r="Y53" s="17" t="str">
        <f>IF(X53="","",IF(X53&gt;=Setup!$C$7,"PASS","FAIL"))</f>
        <v>PASS</v>
      </c>
      <c r="Z53" s="17">
        <f>IF($B53="","",IF(W53=0,"",IF(COUNTIF(Findings!$B$6:$B$305,$A53)&gt;=W53,"OK","LOG FINDING")))</f>
        <v/>
      </c>
    </row>
    <row r="54" spans="1:26">
      <c r="A54" s="17" t="str">
        <f>IF($B54="","","A-1049")</f>
        <v>A-1049</v>
      </c>
      <c r="B54" s="24">
        <v>46104</v>
      </c>
      <c r="C54" s="23" t="s">
        <v>27</v>
      </c>
      <c r="D54" s="28" t="s">
        <v>18</v>
      </c>
      <c r="E54" s="23" t="s">
        <v>37</v>
      </c>
      <c r="F54" s="23" t="s">
        <v>43</v>
      </c>
      <c r="G54" s="28" t="s">
        <v>49</v>
      </c>
      <c r="H54" s="28" t="s">
        <v>49</v>
      </c>
      <c r="I54" s="28" t="s">
        <v>49</v>
      </c>
      <c r="J54" s="28" t="s">
        <v>49</v>
      </c>
      <c r="K54" s="28" t="s">
        <v>49</v>
      </c>
      <c r="L54" s="28" t="s">
        <v>49</v>
      </c>
      <c r="M54" s="28" t="s">
        <v>49</v>
      </c>
      <c r="N54" s="28" t="s">
        <v>49</v>
      </c>
      <c r="O54" s="28" t="s">
        <v>49</v>
      </c>
      <c r="P54" s="28" t="s">
        <v>49</v>
      </c>
      <c r="Q54" s="28" t="s">
        <v>49</v>
      </c>
      <c r="R54" s="28" t="s">
        <v>49</v>
      </c>
      <c r="S54" s="28" t="s">
        <v>49</v>
      </c>
      <c r="T54" s="28" t="s">
        <v>49</v>
      </c>
      <c r="U54" s="28" t="s">
        <v>50</v>
      </c>
      <c r="V54" s="17">
        <f>IF($B54="","",COUNTIF(G54:U54,"OK"))</f>
        <v>14.0</v>
      </c>
      <c r="W54" s="17">
        <f>IF($B54="","",COUNTIF(G54:U54,"NOK"))</f>
        <v>1.0</v>
      </c>
      <c r="X54" s="9">
        <f>IF($B54="","",IF(V54+W54=0,"",V54/(V54+W54)))</f>
        <v>0.9333333333333333</v>
      </c>
      <c r="Y54" s="17" t="str">
        <f>IF(X54="","",IF(X54&gt;=Setup!$C$7,"PASS","FAIL"))</f>
        <v>FAIL</v>
      </c>
      <c r="Z54" s="17" t="str">
        <f>IF($B54="","",IF(W54=0,"",IF(COUNTIF(Findings!$B$6:$B$305,$A54)&gt;=W54,"OK","LOG FINDING")))</f>
        <v>OK</v>
      </c>
    </row>
    <row r="55" spans="1:26">
      <c r="A55" s="17" t="str">
        <f>IF($B55="","","A-1050")</f>
        <v>A-1050</v>
      </c>
      <c r="B55" s="24">
        <v>46105</v>
      </c>
      <c r="C55" s="23" t="s">
        <v>24</v>
      </c>
      <c r="D55" s="28" t="s">
        <v>14</v>
      </c>
      <c r="E55" s="23" t="s">
        <v>32</v>
      </c>
      <c r="F55" s="23" t="s">
        <v>44</v>
      </c>
      <c r="G55" s="28" t="s">
        <v>49</v>
      </c>
      <c r="H55" s="28" t="s">
        <v>49</v>
      </c>
      <c r="I55" s="28" t="s">
        <v>49</v>
      </c>
      <c r="J55" s="28" t="s">
        <v>49</v>
      </c>
      <c r="K55" s="28" t="s">
        <v>49</v>
      </c>
      <c r="L55" s="28" t="s">
        <v>49</v>
      </c>
      <c r="M55" s="28" t="s">
        <v>49</v>
      </c>
      <c r="N55" s="28" t="s">
        <v>49</v>
      </c>
      <c r="O55" s="28" t="s">
        <v>49</v>
      </c>
      <c r="P55" s="28" t="s">
        <v>49</v>
      </c>
      <c r="Q55" s="28" t="s">
        <v>49</v>
      </c>
      <c r="R55" s="28" t="s">
        <v>49</v>
      </c>
      <c r="S55" s="28" t="s">
        <v>49</v>
      </c>
      <c r="T55" s="28" t="s">
        <v>49</v>
      </c>
      <c r="U55" s="28" t="s">
        <v>49</v>
      </c>
      <c r="V55" s="17">
        <f>IF($B55="","",COUNTIF(G55:U55,"OK"))</f>
        <v>15.0</v>
      </c>
      <c r="W55" s="17">
        <f>IF($B55="","",COUNTIF(G55:U55,"NOK"))</f>
        <v>0.0</v>
      </c>
      <c r="X55" s="9">
        <f>IF($B55="","",IF(V55+W55=0,"",V55/(V55+W55)))</f>
        <v>1.0</v>
      </c>
      <c r="Y55" s="17" t="str">
        <f>IF(X55="","",IF(X55&gt;=Setup!$C$7,"PASS","FAIL"))</f>
        <v>PASS</v>
      </c>
      <c r="Z55" s="17">
        <f>IF($B55="","",IF(W55=0,"",IF(COUNTIF(Findings!$B$6:$B$305,$A55)&gt;=W55,"OK","LOG FINDING")))</f>
        <v/>
      </c>
    </row>
    <row r="56" spans="1:26">
      <c r="A56" s="17" t="str">
        <f>IF($B56="","","A-1051")</f>
        <v>A-1051</v>
      </c>
      <c r="B56" s="24">
        <v>46106</v>
      </c>
      <c r="C56" s="23" t="s">
        <v>27</v>
      </c>
      <c r="D56" s="28" t="s">
        <v>14</v>
      </c>
      <c r="E56" s="23" t="s">
        <v>34</v>
      </c>
      <c r="F56" s="23" t="s">
        <v>43</v>
      </c>
      <c r="G56" s="28" t="s">
        <v>49</v>
      </c>
      <c r="H56" s="28" t="s">
        <v>49</v>
      </c>
      <c r="I56" s="28" t="s">
        <v>49</v>
      </c>
      <c r="J56" s="28" t="s">
        <v>49</v>
      </c>
      <c r="K56" s="28" t="s">
        <v>49</v>
      </c>
      <c r="L56" s="28" t="s">
        <v>49</v>
      </c>
      <c r="M56" s="28" t="s">
        <v>49</v>
      </c>
      <c r="N56" s="28" t="s">
        <v>49</v>
      </c>
      <c r="O56" s="28" t="s">
        <v>49</v>
      </c>
      <c r="P56" s="28" t="s">
        <v>49</v>
      </c>
      <c r="Q56" s="28" t="s">
        <v>49</v>
      </c>
      <c r="R56" s="28" t="s">
        <v>49</v>
      </c>
      <c r="S56" s="28" t="s">
        <v>49</v>
      </c>
      <c r="T56" s="28" t="s">
        <v>49</v>
      </c>
      <c r="U56" s="28" t="s">
        <v>49</v>
      </c>
      <c r="V56" s="17">
        <f>IF($B56="","",COUNTIF(G56:U56,"OK"))</f>
        <v>15.0</v>
      </c>
      <c r="W56" s="17">
        <f>IF($B56="","",COUNTIF(G56:U56,"NOK"))</f>
        <v>0.0</v>
      </c>
      <c r="X56" s="9">
        <f>IF($B56="","",IF(V56+W56=0,"",V56/(V56+W56)))</f>
        <v>1.0</v>
      </c>
      <c r="Y56" s="17" t="str">
        <f>IF(X56="","",IF(X56&gt;=Setup!$C$7,"PASS","FAIL"))</f>
        <v>PASS</v>
      </c>
      <c r="Z56" s="17">
        <f>IF($B56="","",IF(W56=0,"",IF(COUNTIF(Findings!$B$6:$B$305,$A56)&gt;=W56,"OK","LOG FINDING")))</f>
        <v/>
      </c>
    </row>
    <row r="57" spans="1:26">
      <c r="A57" s="17" t="str">
        <f>IF($B57="","","A-1052")</f>
        <v>A-1052</v>
      </c>
      <c r="B57" s="24">
        <v>46106</v>
      </c>
      <c r="C57" s="23" t="s">
        <v>27</v>
      </c>
      <c r="D57" s="28" t="s">
        <v>16</v>
      </c>
      <c r="E57" s="23" t="s">
        <v>36</v>
      </c>
      <c r="F57" s="23" t="s">
        <v>43</v>
      </c>
      <c r="G57" s="28" t="s">
        <v>49</v>
      </c>
      <c r="H57" s="28" t="s">
        <v>49</v>
      </c>
      <c r="I57" s="28" t="s">
        <v>49</v>
      </c>
      <c r="J57" s="28" t="s">
        <v>49</v>
      </c>
      <c r="K57" s="28" t="s">
        <v>49</v>
      </c>
      <c r="L57" s="28" t="s">
        <v>49</v>
      </c>
      <c r="M57" s="28" t="s">
        <v>49</v>
      </c>
      <c r="N57" s="28" t="s">
        <v>49</v>
      </c>
      <c r="O57" s="28" t="s">
        <v>49</v>
      </c>
      <c r="P57" s="28" t="s">
        <v>49</v>
      </c>
      <c r="Q57" s="28" t="s">
        <v>49</v>
      </c>
      <c r="R57" s="28" t="s">
        <v>49</v>
      </c>
      <c r="S57" s="28" t="s">
        <v>49</v>
      </c>
      <c r="T57" s="28" t="s">
        <v>49</v>
      </c>
      <c r="U57" s="28" t="s">
        <v>49</v>
      </c>
      <c r="V57" s="17">
        <f>IF($B57="","",COUNTIF(G57:U57,"OK"))</f>
        <v>15.0</v>
      </c>
      <c r="W57" s="17">
        <f>IF($B57="","",COUNTIF(G57:U57,"NOK"))</f>
        <v>0.0</v>
      </c>
      <c r="X57" s="9">
        <f>IF($B57="","",IF(V57+W57=0,"",V57/(V57+W57)))</f>
        <v>1.0</v>
      </c>
      <c r="Y57" s="17" t="str">
        <f>IF(X57="","",IF(X57&gt;=Setup!$C$7,"PASS","FAIL"))</f>
        <v>PASS</v>
      </c>
      <c r="Z57" s="17">
        <f>IF($B57="","",IF(W57=0,"",IF(COUNTIF(Findings!$B$6:$B$305,$A57)&gt;=W57,"OK","LOG FINDING")))</f>
        <v/>
      </c>
    </row>
    <row r="58" spans="1:26">
      <c r="A58" s="17" t="str">
        <f>IF($B58="","","A-1053")</f>
        <v>A-1053</v>
      </c>
      <c r="B58" s="24">
        <v>46107</v>
      </c>
      <c r="C58" s="23" t="s">
        <v>25</v>
      </c>
      <c r="D58" s="28" t="s">
        <v>18</v>
      </c>
      <c r="E58" s="23" t="s">
        <v>38</v>
      </c>
      <c r="F58" s="23" t="s">
        <v>43</v>
      </c>
      <c r="G58" s="28" t="s">
        <v>49</v>
      </c>
      <c r="H58" s="28" t="s">
        <v>49</v>
      </c>
      <c r="I58" s="28" t="s">
        <v>49</v>
      </c>
      <c r="J58" s="28" t="s">
        <v>49</v>
      </c>
      <c r="K58" s="28" t="s">
        <v>49</v>
      </c>
      <c r="L58" s="28" t="s">
        <v>49</v>
      </c>
      <c r="M58" s="28" t="s">
        <v>49</v>
      </c>
      <c r="N58" s="28" t="s">
        <v>49</v>
      </c>
      <c r="O58" s="28" t="s">
        <v>49</v>
      </c>
      <c r="P58" s="28" t="s">
        <v>49</v>
      </c>
      <c r="Q58" s="28" t="s">
        <v>49</v>
      </c>
      <c r="R58" s="28" t="s">
        <v>49</v>
      </c>
      <c r="S58" s="28" t="s">
        <v>49</v>
      </c>
      <c r="T58" s="28" t="s">
        <v>49</v>
      </c>
      <c r="U58" s="28" t="s">
        <v>49</v>
      </c>
      <c r="V58" s="17">
        <f>IF($B58="","",COUNTIF(G58:U58,"OK"))</f>
        <v>15.0</v>
      </c>
      <c r="W58" s="17">
        <f>IF($B58="","",COUNTIF(G58:U58,"NOK"))</f>
        <v>0.0</v>
      </c>
      <c r="X58" s="9">
        <f>IF($B58="","",IF(V58+W58=0,"",V58/(V58+W58)))</f>
        <v>1.0</v>
      </c>
      <c r="Y58" s="17" t="str">
        <f>IF(X58="","",IF(X58&gt;=Setup!$C$7,"PASS","FAIL"))</f>
        <v>PASS</v>
      </c>
      <c r="Z58" s="17">
        <f>IF($B58="","",IF(W58=0,"",IF(COUNTIF(Findings!$B$6:$B$305,$A58)&gt;=W58,"OK","LOG FINDING")))</f>
        <v/>
      </c>
    </row>
    <row r="59" spans="1:26">
      <c r="A59" s="17" t="str">
        <f>IF($B59="","","A-1054")</f>
        <v>A-1054</v>
      </c>
      <c r="B59" s="24">
        <v>46107</v>
      </c>
      <c r="C59" s="23" t="s">
        <v>22</v>
      </c>
      <c r="D59" s="28" t="s">
        <v>14</v>
      </c>
      <c r="E59" s="23" t="s">
        <v>32</v>
      </c>
      <c r="F59" s="23" t="s">
        <v>44</v>
      </c>
      <c r="G59" s="28" t="s">
        <v>49</v>
      </c>
      <c r="H59" s="28" t="s">
        <v>49</v>
      </c>
      <c r="I59" s="28" t="s">
        <v>49</v>
      </c>
      <c r="J59" s="28" t="s">
        <v>51</v>
      </c>
      <c r="K59" s="28" t="s">
        <v>49</v>
      </c>
      <c r="L59" s="28" t="s">
        <v>49</v>
      </c>
      <c r="M59" s="28" t="s">
        <v>49</v>
      </c>
      <c r="N59" s="28" t="s">
        <v>49</v>
      </c>
      <c r="O59" s="28" t="s">
        <v>49</v>
      </c>
      <c r="P59" s="28" t="s">
        <v>49</v>
      </c>
      <c r="Q59" s="28" t="s">
        <v>49</v>
      </c>
      <c r="R59" s="28" t="s">
        <v>49</v>
      </c>
      <c r="S59" s="28" t="s">
        <v>49</v>
      </c>
      <c r="T59" s="28" t="s">
        <v>49</v>
      </c>
      <c r="U59" s="28" t="s">
        <v>49</v>
      </c>
      <c r="V59" s="17">
        <f>IF($B59="","",COUNTIF(G59:U59,"OK"))</f>
        <v>14.0</v>
      </c>
      <c r="W59" s="17">
        <f>IF($B59="","",COUNTIF(G59:U59,"NOK"))</f>
        <v>0.0</v>
      </c>
      <c r="X59" s="9">
        <f>IF($B59="","",IF(V59+W59=0,"",V59/(V59+W59)))</f>
        <v>1.0</v>
      </c>
      <c r="Y59" s="17" t="str">
        <f>IF(X59="","",IF(X59&gt;=Setup!$C$7,"PASS","FAIL"))</f>
        <v>PASS</v>
      </c>
      <c r="Z59" s="17">
        <f>IF($B59="","",IF(W59=0,"",IF(COUNTIF(Findings!$B$6:$B$305,$A59)&gt;=W59,"OK","LOG FINDING")))</f>
        <v/>
      </c>
    </row>
    <row r="60" spans="1:26">
      <c r="A60" s="17" t="str">
        <f>IF($B60="","","A-1055")</f>
        <v>A-1055</v>
      </c>
      <c r="B60" s="24">
        <v>46108</v>
      </c>
      <c r="C60" s="23" t="s">
        <v>26</v>
      </c>
      <c r="D60" s="28" t="s">
        <v>14</v>
      </c>
      <c r="E60" s="23" t="s">
        <v>32</v>
      </c>
      <c r="F60" s="23" t="s">
        <v>43</v>
      </c>
      <c r="G60" s="28" t="s">
        <v>49</v>
      </c>
      <c r="H60" s="28" t="s">
        <v>49</v>
      </c>
      <c r="I60" s="28" t="s">
        <v>49</v>
      </c>
      <c r="J60" s="28" t="s">
        <v>51</v>
      </c>
      <c r="K60" s="28" t="s">
        <v>49</v>
      </c>
      <c r="L60" s="28" t="s">
        <v>49</v>
      </c>
      <c r="M60" s="28" t="s">
        <v>49</v>
      </c>
      <c r="N60" s="28" t="s">
        <v>49</v>
      </c>
      <c r="O60" s="28" t="s">
        <v>49</v>
      </c>
      <c r="P60" s="28" t="s">
        <v>49</v>
      </c>
      <c r="Q60" s="28" t="s">
        <v>51</v>
      </c>
      <c r="R60" s="28" t="s">
        <v>49</v>
      </c>
      <c r="S60" s="28" t="s">
        <v>49</v>
      </c>
      <c r="T60" s="28" t="s">
        <v>49</v>
      </c>
      <c r="U60" s="28" t="s">
        <v>49</v>
      </c>
      <c r="V60" s="17">
        <f>IF($B60="","",COUNTIF(G60:U60,"OK"))</f>
        <v>13.0</v>
      </c>
      <c r="W60" s="17">
        <f>IF($B60="","",COUNTIF(G60:U60,"NOK"))</f>
        <v>0.0</v>
      </c>
      <c r="X60" s="9">
        <f>IF($B60="","",IF(V60+W60=0,"",V60/(V60+W60)))</f>
        <v>1.0</v>
      </c>
      <c r="Y60" s="17" t="str">
        <f>IF(X60="","",IF(X60&gt;=Setup!$C$7,"PASS","FAIL"))</f>
        <v>PASS</v>
      </c>
      <c r="Z60" s="17">
        <f>IF($B60="","",IF(W60=0,"",IF(COUNTIF(Findings!$B$6:$B$305,$A60)&gt;=W60,"OK","LOG FINDING")))</f>
        <v/>
      </c>
    </row>
    <row r="61" spans="1:26">
      <c r="A61" s="17" t="str">
        <f>IF($B61="","","A-1056")</f>
        <v>A-1056</v>
      </c>
      <c r="B61" s="24">
        <v>46108</v>
      </c>
      <c r="C61" s="23" t="s">
        <v>27</v>
      </c>
      <c r="D61" s="28" t="s">
        <v>14</v>
      </c>
      <c r="E61" s="23" t="s">
        <v>34</v>
      </c>
      <c r="F61" s="23" t="s">
        <v>44</v>
      </c>
      <c r="G61" s="28" t="s">
        <v>49</v>
      </c>
      <c r="H61" s="28" t="s">
        <v>49</v>
      </c>
      <c r="I61" s="28" t="s">
        <v>49</v>
      </c>
      <c r="J61" s="28" t="s">
        <v>49</v>
      </c>
      <c r="K61" s="28" t="s">
        <v>49</v>
      </c>
      <c r="L61" s="28" t="s">
        <v>49</v>
      </c>
      <c r="M61" s="28" t="s">
        <v>49</v>
      </c>
      <c r="N61" s="28" t="s">
        <v>49</v>
      </c>
      <c r="O61" s="28" t="s">
        <v>49</v>
      </c>
      <c r="P61" s="28" t="s">
        <v>49</v>
      </c>
      <c r="Q61" s="28" t="s">
        <v>49</v>
      </c>
      <c r="R61" s="28" t="s">
        <v>49</v>
      </c>
      <c r="S61" s="28" t="s">
        <v>49</v>
      </c>
      <c r="T61" s="28" t="s">
        <v>49</v>
      </c>
      <c r="U61" s="28" t="s">
        <v>49</v>
      </c>
      <c r="V61" s="17">
        <f>IF($B61="","",COUNTIF(G61:U61,"OK"))</f>
        <v>15.0</v>
      </c>
      <c r="W61" s="17">
        <f>IF($B61="","",COUNTIF(G61:U61,"NOK"))</f>
        <v>0.0</v>
      </c>
      <c r="X61" s="9">
        <f>IF($B61="","",IF(V61+W61=0,"",V61/(V61+W61)))</f>
        <v>1.0</v>
      </c>
      <c r="Y61" s="17" t="str">
        <f>IF(X61="","",IF(X61&gt;=Setup!$C$7,"PASS","FAIL"))</f>
        <v>PASS</v>
      </c>
      <c r="Z61" s="17">
        <f>IF($B61="","",IF(W61=0,"",IF(COUNTIF(Findings!$B$6:$B$305,$A61)&gt;=W61,"OK","LOG FINDING")))</f>
        <v/>
      </c>
    </row>
    <row r="62" spans="1:26">
      <c r="A62" s="17" t="str">
        <f>IF($B62="","","A-1057")</f>
        <v>A-1057</v>
      </c>
      <c r="B62" s="24">
        <v>46108</v>
      </c>
      <c r="C62" s="23" t="s">
        <v>22</v>
      </c>
      <c r="D62" s="28" t="s">
        <v>14</v>
      </c>
      <c r="E62" s="23" t="s">
        <v>34</v>
      </c>
      <c r="F62" s="23" t="s">
        <v>43</v>
      </c>
      <c r="G62" s="28" t="s">
        <v>49</v>
      </c>
      <c r="H62" s="28" t="s">
        <v>49</v>
      </c>
      <c r="I62" s="28" t="s">
        <v>49</v>
      </c>
      <c r="J62" s="28" t="s">
        <v>51</v>
      </c>
      <c r="K62" s="28" t="s">
        <v>49</v>
      </c>
      <c r="L62" s="28" t="s">
        <v>49</v>
      </c>
      <c r="M62" s="28" t="s">
        <v>49</v>
      </c>
      <c r="N62" s="28" t="s">
        <v>49</v>
      </c>
      <c r="O62" s="28" t="s">
        <v>49</v>
      </c>
      <c r="P62" s="28" t="s">
        <v>49</v>
      </c>
      <c r="Q62" s="28" t="s">
        <v>51</v>
      </c>
      <c r="R62" s="28" t="s">
        <v>49</v>
      </c>
      <c r="S62" s="28" t="s">
        <v>49</v>
      </c>
      <c r="T62" s="28" t="s">
        <v>49</v>
      </c>
      <c r="U62" s="28" t="s">
        <v>49</v>
      </c>
      <c r="V62" s="17">
        <f>IF($B62="","",COUNTIF(G62:U62,"OK"))</f>
        <v>13.0</v>
      </c>
      <c r="W62" s="17">
        <f>IF($B62="","",COUNTIF(G62:U62,"NOK"))</f>
        <v>0.0</v>
      </c>
      <c r="X62" s="9">
        <f>IF($B62="","",IF(V62+W62=0,"",V62/(V62+W62)))</f>
        <v>1.0</v>
      </c>
      <c r="Y62" s="17" t="str">
        <f>IF(X62="","",IF(X62&gt;=Setup!$C$7,"PASS","FAIL"))</f>
        <v>PASS</v>
      </c>
      <c r="Z62" s="17">
        <f>IF($B62="","",IF(W62=0,"",IF(COUNTIF(Findings!$B$6:$B$305,$A62)&gt;=W62,"OK","LOG FINDING")))</f>
        <v/>
      </c>
    </row>
    <row r="63" spans="1:26">
      <c r="A63" s="17" t="str">
        <f>IF($B63="","","A-1058")</f>
        <v>A-1058</v>
      </c>
      <c r="B63" s="24">
        <v>46111</v>
      </c>
      <c r="C63" s="23" t="s">
        <v>25</v>
      </c>
      <c r="D63" s="28" t="s">
        <v>14</v>
      </c>
      <c r="E63" s="23" t="s">
        <v>33</v>
      </c>
      <c r="F63" s="23" t="s">
        <v>43</v>
      </c>
      <c r="G63" s="28" t="s">
        <v>49</v>
      </c>
      <c r="H63" s="28" t="s">
        <v>49</v>
      </c>
      <c r="I63" s="28" t="s">
        <v>50</v>
      </c>
      <c r="J63" s="28" t="s">
        <v>49</v>
      </c>
      <c r="K63" s="28" t="s">
        <v>49</v>
      </c>
      <c r="L63" s="28" t="s">
        <v>49</v>
      </c>
      <c r="M63" s="28" t="s">
        <v>50</v>
      </c>
      <c r="N63" s="28" t="s">
        <v>49</v>
      </c>
      <c r="O63" s="28" t="s">
        <v>49</v>
      </c>
      <c r="P63" s="28" t="s">
        <v>49</v>
      </c>
      <c r="Q63" s="28" t="s">
        <v>50</v>
      </c>
      <c r="R63" s="28" t="s">
        <v>49</v>
      </c>
      <c r="S63" s="28" t="s">
        <v>49</v>
      </c>
      <c r="T63" s="28" t="s">
        <v>49</v>
      </c>
      <c r="U63" s="28" t="s">
        <v>49</v>
      </c>
      <c r="V63" s="17">
        <f>IF($B63="","",COUNTIF(G63:U63,"OK"))</f>
        <v>12.0</v>
      </c>
      <c r="W63" s="17">
        <f>IF($B63="","",COUNTIF(G63:U63,"NOK"))</f>
        <v>3.0</v>
      </c>
      <c r="X63" s="9">
        <f>IF($B63="","",IF(V63+W63=0,"",V63/(V63+W63)))</f>
        <v>0.8</v>
      </c>
      <c r="Y63" s="17" t="str">
        <f>IF(X63="","",IF(X63&gt;=Setup!$C$7,"PASS","FAIL"))</f>
        <v>FAIL</v>
      </c>
      <c r="Z63" s="17" t="str">
        <f>IF($B63="","",IF(W63=0,"",IF(COUNTIF(Findings!$B$6:$B$305,$A63)&gt;=W63,"OK","LOG FINDING")))</f>
        <v>OK</v>
      </c>
    </row>
    <row r="64" spans="1:26">
      <c r="A64" s="17" t="str">
        <f>IF($B64="","","A-1059")</f>
        <v>A-1059</v>
      </c>
      <c r="B64" s="24">
        <v>46113</v>
      </c>
      <c r="C64" s="23" t="s">
        <v>26</v>
      </c>
      <c r="D64" s="28" t="s">
        <v>14</v>
      </c>
      <c r="E64" s="23" t="s">
        <v>33</v>
      </c>
      <c r="F64" s="23" t="s">
        <v>44</v>
      </c>
      <c r="G64" s="28" t="s">
        <v>49</v>
      </c>
      <c r="H64" s="28" t="s">
        <v>49</v>
      </c>
      <c r="I64" s="28" t="s">
        <v>49</v>
      </c>
      <c r="J64" s="28" t="s">
        <v>49</v>
      </c>
      <c r="K64" s="28" t="s">
        <v>49</v>
      </c>
      <c r="L64" s="28" t="s">
        <v>49</v>
      </c>
      <c r="M64" s="28" t="s">
        <v>49</v>
      </c>
      <c r="N64" s="28" t="s">
        <v>49</v>
      </c>
      <c r="O64" s="28" t="s">
        <v>49</v>
      </c>
      <c r="P64" s="28" t="s">
        <v>49</v>
      </c>
      <c r="Q64" s="28" t="s">
        <v>51</v>
      </c>
      <c r="R64" s="28" t="s">
        <v>49</v>
      </c>
      <c r="S64" s="28" t="s">
        <v>49</v>
      </c>
      <c r="T64" s="28" t="s">
        <v>49</v>
      </c>
      <c r="U64" s="28" t="s">
        <v>49</v>
      </c>
      <c r="V64" s="17">
        <f>IF($B64="","",COUNTIF(G64:U64,"OK"))</f>
        <v>14.0</v>
      </c>
      <c r="W64" s="17">
        <f>IF($B64="","",COUNTIF(G64:U64,"NOK"))</f>
        <v>0.0</v>
      </c>
      <c r="X64" s="9">
        <f>IF($B64="","",IF(V64+W64=0,"",V64/(V64+W64)))</f>
        <v>1.0</v>
      </c>
      <c r="Y64" s="17" t="str">
        <f>IF(X64="","",IF(X64&gt;=Setup!$C$7,"PASS","FAIL"))</f>
        <v>PASS</v>
      </c>
      <c r="Z64" s="17">
        <f>IF($B64="","",IF(W64=0,"",IF(COUNTIF(Findings!$B$6:$B$305,$A64)&gt;=W64,"OK","LOG FINDING")))</f>
        <v/>
      </c>
    </row>
    <row r="65" spans="1:26">
      <c r="A65" s="17" t="str">
        <f>IF($B65="","","A-1060")</f>
        <v>A-1060</v>
      </c>
      <c r="B65" s="24">
        <v>46113</v>
      </c>
      <c r="C65" s="23" t="s">
        <v>22</v>
      </c>
      <c r="D65" s="28" t="s">
        <v>18</v>
      </c>
      <c r="E65" s="23" t="s">
        <v>37</v>
      </c>
      <c r="F65" s="23" t="s">
        <v>44</v>
      </c>
      <c r="G65" s="28" t="s">
        <v>49</v>
      </c>
      <c r="H65" s="28" t="s">
        <v>49</v>
      </c>
      <c r="I65" s="28" t="s">
        <v>49</v>
      </c>
      <c r="J65" s="28" t="s">
        <v>49</v>
      </c>
      <c r="K65" s="28" t="s">
        <v>49</v>
      </c>
      <c r="L65" s="28" t="s">
        <v>49</v>
      </c>
      <c r="M65" s="28" t="s">
        <v>49</v>
      </c>
      <c r="N65" s="28" t="s">
        <v>49</v>
      </c>
      <c r="O65" s="28" t="s">
        <v>49</v>
      </c>
      <c r="P65" s="28" t="s">
        <v>49</v>
      </c>
      <c r="Q65" s="28" t="s">
        <v>51</v>
      </c>
      <c r="R65" s="28" t="s">
        <v>49</v>
      </c>
      <c r="S65" s="28" t="s">
        <v>49</v>
      </c>
      <c r="T65" s="28" t="s">
        <v>49</v>
      </c>
      <c r="U65" s="28" t="s">
        <v>49</v>
      </c>
      <c r="V65" s="17">
        <f>IF($B65="","",COUNTIF(G65:U65,"OK"))</f>
        <v>14.0</v>
      </c>
      <c r="W65" s="17">
        <f>IF($B65="","",COUNTIF(G65:U65,"NOK"))</f>
        <v>0.0</v>
      </c>
      <c r="X65" s="9">
        <f>IF($B65="","",IF(V65+W65=0,"",V65/(V65+W65)))</f>
        <v>1.0</v>
      </c>
      <c r="Y65" s="17" t="str">
        <f>IF(X65="","",IF(X65&gt;=Setup!$C$7,"PASS","FAIL"))</f>
        <v>PASS</v>
      </c>
      <c r="Z65" s="17">
        <f>IF($B65="","",IF(W65=0,"",IF(COUNTIF(Findings!$B$6:$B$305,$A65)&gt;=W65,"OK","LOG FINDING")))</f>
        <v/>
      </c>
    </row>
    <row r="66" spans="1:26">
      <c r="A66" s="17" t="str">
        <f>IF($B66="","","A-1061")</f>
        <v>A-1061</v>
      </c>
      <c r="B66" s="24">
        <v>46114</v>
      </c>
      <c r="C66" s="23" t="s">
        <v>25</v>
      </c>
      <c r="D66" s="28" t="s">
        <v>14</v>
      </c>
      <c r="E66" s="23" t="s">
        <v>33</v>
      </c>
      <c r="F66" s="23" t="s">
        <v>43</v>
      </c>
      <c r="G66" s="28" t="s">
        <v>49</v>
      </c>
      <c r="H66" s="28" t="s">
        <v>49</v>
      </c>
      <c r="I66" s="28" t="s">
        <v>49</v>
      </c>
      <c r="J66" s="28" t="s">
        <v>51</v>
      </c>
      <c r="K66" s="28" t="s">
        <v>49</v>
      </c>
      <c r="L66" s="28" t="s">
        <v>50</v>
      </c>
      <c r="M66" s="28" t="s">
        <v>49</v>
      </c>
      <c r="N66" s="28" t="s">
        <v>49</v>
      </c>
      <c r="O66" s="28" t="s">
        <v>49</v>
      </c>
      <c r="P66" s="28" t="s">
        <v>49</v>
      </c>
      <c r="Q66" s="28" t="s">
        <v>51</v>
      </c>
      <c r="R66" s="28" t="s">
        <v>49</v>
      </c>
      <c r="S66" s="28" t="s">
        <v>49</v>
      </c>
      <c r="T66" s="28" t="s">
        <v>49</v>
      </c>
      <c r="U66" s="28" t="s">
        <v>49</v>
      </c>
      <c r="V66" s="17">
        <f>IF($B66="","",COUNTIF(G66:U66,"OK"))</f>
        <v>12.0</v>
      </c>
      <c r="W66" s="17">
        <f>IF($B66="","",COUNTIF(G66:U66,"NOK"))</f>
        <v>1.0</v>
      </c>
      <c r="X66" s="9">
        <f>IF($B66="","",IF(V66+W66=0,"",V66/(V66+W66)))</f>
        <v>0.9230769230769231</v>
      </c>
      <c r="Y66" s="17" t="str">
        <f>IF(X66="","",IF(X66&gt;=Setup!$C$7,"PASS","FAIL"))</f>
        <v>FAIL</v>
      </c>
      <c r="Z66" s="17" t="str">
        <f>IF($B66="","",IF(W66=0,"",IF(COUNTIF(Findings!$B$6:$B$305,$A66)&gt;=W66,"OK","LOG FINDING")))</f>
        <v>OK</v>
      </c>
    </row>
    <row r="67" spans="1:26">
      <c r="A67" s="17" t="str">
        <f>IF($B67="","","A-1062")</f>
        <v>A-1062</v>
      </c>
      <c r="B67" s="24">
        <v>46115</v>
      </c>
      <c r="C67" s="23" t="s">
        <v>27</v>
      </c>
      <c r="D67" s="28" t="s">
        <v>14</v>
      </c>
      <c r="E67" s="23" t="s">
        <v>32</v>
      </c>
      <c r="F67" s="23" t="s">
        <v>43</v>
      </c>
      <c r="G67" s="28" t="s">
        <v>49</v>
      </c>
      <c r="H67" s="28" t="s">
        <v>49</v>
      </c>
      <c r="I67" s="28" t="s">
        <v>49</v>
      </c>
      <c r="J67" s="28" t="s">
        <v>49</v>
      </c>
      <c r="K67" s="28" t="s">
        <v>50</v>
      </c>
      <c r="L67" s="28" t="s">
        <v>49</v>
      </c>
      <c r="M67" s="28" t="s">
        <v>49</v>
      </c>
      <c r="N67" s="28" t="s">
        <v>49</v>
      </c>
      <c r="O67" s="28" t="s">
        <v>49</v>
      </c>
      <c r="P67" s="28" t="s">
        <v>49</v>
      </c>
      <c r="Q67" s="28" t="s">
        <v>49</v>
      </c>
      <c r="R67" s="28" t="s">
        <v>49</v>
      </c>
      <c r="S67" s="28" t="s">
        <v>49</v>
      </c>
      <c r="T67" s="28" t="s">
        <v>49</v>
      </c>
      <c r="U67" s="28" t="s">
        <v>49</v>
      </c>
      <c r="V67" s="17">
        <f>IF($B67="","",COUNTIF(G67:U67,"OK"))</f>
        <v>14.0</v>
      </c>
      <c r="W67" s="17">
        <f>IF($B67="","",COUNTIF(G67:U67,"NOK"))</f>
        <v>1.0</v>
      </c>
      <c r="X67" s="9">
        <f>IF($B67="","",IF(V67+W67=0,"",V67/(V67+W67)))</f>
        <v>0.9333333333333333</v>
      </c>
      <c r="Y67" s="17" t="str">
        <f>IF(X67="","",IF(X67&gt;=Setup!$C$7,"PASS","FAIL"))</f>
        <v>FAIL</v>
      </c>
      <c r="Z67" s="17" t="str">
        <f>IF($B67="","",IF(W67=0,"",IF(COUNTIF(Findings!$B$6:$B$305,$A67)&gt;=W67,"OK","LOG FINDING")))</f>
        <v>OK</v>
      </c>
    </row>
    <row r="68" spans="1:26">
      <c r="A68" s="17" t="str">
        <f>IF($B68="","","A-1063")</f>
        <v>A-1063</v>
      </c>
      <c r="B68" s="24">
        <v>46115</v>
      </c>
      <c r="C68" s="23" t="s">
        <v>27</v>
      </c>
      <c r="D68" s="28" t="s">
        <v>14</v>
      </c>
      <c r="E68" s="23" t="s">
        <v>33</v>
      </c>
      <c r="F68" s="23" t="s">
        <v>43</v>
      </c>
      <c r="G68" s="28" t="s">
        <v>49</v>
      </c>
      <c r="H68" s="28" t="s">
        <v>49</v>
      </c>
      <c r="I68" s="28" t="s">
        <v>49</v>
      </c>
      <c r="J68" s="28" t="s">
        <v>51</v>
      </c>
      <c r="K68" s="28" t="s">
        <v>49</v>
      </c>
      <c r="L68" s="28" t="s">
        <v>49</v>
      </c>
      <c r="M68" s="28" t="s">
        <v>49</v>
      </c>
      <c r="N68" s="28" t="s">
        <v>49</v>
      </c>
      <c r="O68" s="28" t="s">
        <v>49</v>
      </c>
      <c r="P68" s="28" t="s">
        <v>49</v>
      </c>
      <c r="Q68" s="28" t="s">
        <v>49</v>
      </c>
      <c r="R68" s="28" t="s">
        <v>49</v>
      </c>
      <c r="S68" s="28" t="s">
        <v>49</v>
      </c>
      <c r="T68" s="28" t="s">
        <v>49</v>
      </c>
      <c r="U68" s="28" t="s">
        <v>49</v>
      </c>
      <c r="V68" s="17">
        <f>IF($B68="","",COUNTIF(G68:U68,"OK"))</f>
        <v>14.0</v>
      </c>
      <c r="W68" s="17">
        <f>IF($B68="","",COUNTIF(G68:U68,"NOK"))</f>
        <v>0.0</v>
      </c>
      <c r="X68" s="9">
        <f>IF($B68="","",IF(V68+W68=0,"",V68/(V68+W68)))</f>
        <v>1.0</v>
      </c>
      <c r="Y68" s="17" t="str">
        <f>IF(X68="","",IF(X68&gt;=Setup!$C$7,"PASS","FAIL"))</f>
        <v>PASS</v>
      </c>
      <c r="Z68" s="17">
        <f>IF($B68="","",IF(W68=0,"",IF(COUNTIF(Findings!$B$6:$B$305,$A68)&gt;=W68,"OK","LOG FINDING")))</f>
        <v/>
      </c>
    </row>
    <row r="69" spans="1:26">
      <c r="A69" s="17" t="str">
        <f>IF($B69="","","A-1064")</f>
        <v>A-1064</v>
      </c>
      <c r="B69" s="24">
        <v>46120</v>
      </c>
      <c r="C69" s="23" t="s">
        <v>22</v>
      </c>
      <c r="D69" s="28" t="s">
        <v>16</v>
      </c>
      <c r="E69" s="23" t="s">
        <v>35</v>
      </c>
      <c r="F69" s="23" t="s">
        <v>43</v>
      </c>
      <c r="G69" s="28" t="s">
        <v>49</v>
      </c>
      <c r="H69" s="28" t="s">
        <v>49</v>
      </c>
      <c r="I69" s="28" t="s">
        <v>49</v>
      </c>
      <c r="J69" s="28" t="s">
        <v>49</v>
      </c>
      <c r="K69" s="28" t="s">
        <v>49</v>
      </c>
      <c r="L69" s="28" t="s">
        <v>49</v>
      </c>
      <c r="M69" s="28" t="s">
        <v>49</v>
      </c>
      <c r="N69" s="28" t="s">
        <v>49</v>
      </c>
      <c r="O69" s="28" t="s">
        <v>49</v>
      </c>
      <c r="P69" s="28" t="s">
        <v>49</v>
      </c>
      <c r="Q69" s="28" t="s">
        <v>49</v>
      </c>
      <c r="R69" s="28" t="s">
        <v>49</v>
      </c>
      <c r="S69" s="28" t="s">
        <v>49</v>
      </c>
      <c r="T69" s="28" t="s">
        <v>49</v>
      </c>
      <c r="U69" s="28" t="s">
        <v>49</v>
      </c>
      <c r="V69" s="17">
        <f>IF($B69="","",COUNTIF(G69:U69,"OK"))</f>
        <v>15.0</v>
      </c>
      <c r="W69" s="17">
        <f>IF($B69="","",COUNTIF(G69:U69,"NOK"))</f>
        <v>0.0</v>
      </c>
      <c r="X69" s="9">
        <f>IF($B69="","",IF(V69+W69=0,"",V69/(V69+W69)))</f>
        <v>1.0</v>
      </c>
      <c r="Y69" s="17" t="str">
        <f>IF(X69="","",IF(X69&gt;=Setup!$C$7,"PASS","FAIL"))</f>
        <v>PASS</v>
      </c>
      <c r="Z69" s="17">
        <f>IF($B69="","",IF(W69=0,"",IF(COUNTIF(Findings!$B$6:$B$305,$A69)&gt;=W69,"OK","LOG FINDING")))</f>
        <v/>
      </c>
    </row>
    <row r="70" spans="1:26">
      <c r="A70" s="17" t="str">
        <f>IF($B70="","","A-1065")</f>
        <v>A-1065</v>
      </c>
      <c r="B70" s="24">
        <v>46121</v>
      </c>
      <c r="C70" s="23" t="s">
        <v>27</v>
      </c>
      <c r="D70" s="28" t="s">
        <v>16</v>
      </c>
      <c r="E70" s="23" t="s">
        <v>35</v>
      </c>
      <c r="F70" s="23" t="s">
        <v>43</v>
      </c>
      <c r="G70" s="28" t="s">
        <v>49</v>
      </c>
      <c r="H70" s="28" t="s">
        <v>49</v>
      </c>
      <c r="I70" s="28" t="s">
        <v>49</v>
      </c>
      <c r="J70" s="28" t="s">
        <v>51</v>
      </c>
      <c r="K70" s="28" t="s">
        <v>49</v>
      </c>
      <c r="L70" s="28" t="s">
        <v>49</v>
      </c>
      <c r="M70" s="28" t="s">
        <v>49</v>
      </c>
      <c r="N70" s="28" t="s">
        <v>49</v>
      </c>
      <c r="O70" s="28" t="s">
        <v>49</v>
      </c>
      <c r="P70" s="28" t="s">
        <v>49</v>
      </c>
      <c r="Q70" s="28" t="s">
        <v>49</v>
      </c>
      <c r="R70" s="28" t="s">
        <v>49</v>
      </c>
      <c r="S70" s="28" t="s">
        <v>49</v>
      </c>
      <c r="T70" s="28" t="s">
        <v>49</v>
      </c>
      <c r="U70" s="28" t="s">
        <v>49</v>
      </c>
      <c r="V70" s="17">
        <f>IF($B70="","",COUNTIF(G70:U70,"OK"))</f>
        <v>14.0</v>
      </c>
      <c r="W70" s="17">
        <f>IF($B70="","",COUNTIF(G70:U70,"NOK"))</f>
        <v>0.0</v>
      </c>
      <c r="X70" s="9">
        <f>IF($B70="","",IF(V70+W70=0,"",V70/(V70+W70)))</f>
        <v>1.0</v>
      </c>
      <c r="Y70" s="17" t="str">
        <f>IF(X70="","",IF(X70&gt;=Setup!$C$7,"PASS","FAIL"))</f>
        <v>PASS</v>
      </c>
      <c r="Z70" s="17">
        <f>IF($B70="","",IF(W70=0,"",IF(COUNTIF(Findings!$B$6:$B$305,$A70)&gt;=W70,"OK","LOG FINDING")))</f>
        <v/>
      </c>
    </row>
    <row r="71" spans="1:26">
      <c r="A71" s="17" t="str">
        <f>IF($B71="","","A-1066")</f>
        <v>A-1066</v>
      </c>
      <c r="B71" s="24">
        <v>46122</v>
      </c>
      <c r="C71" s="23" t="s">
        <v>26</v>
      </c>
      <c r="D71" s="28" t="s">
        <v>16</v>
      </c>
      <c r="E71" s="23" t="s">
        <v>35</v>
      </c>
      <c r="F71" s="23" t="s">
        <v>43</v>
      </c>
      <c r="G71" s="28" t="s">
        <v>49</v>
      </c>
      <c r="H71" s="28" t="s">
        <v>49</v>
      </c>
      <c r="I71" s="28" t="s">
        <v>49</v>
      </c>
      <c r="J71" s="28" t="s">
        <v>49</v>
      </c>
      <c r="K71" s="28" t="s">
        <v>49</v>
      </c>
      <c r="L71" s="28" t="s">
        <v>49</v>
      </c>
      <c r="M71" s="28" t="s">
        <v>49</v>
      </c>
      <c r="N71" s="28" t="s">
        <v>49</v>
      </c>
      <c r="O71" s="28" t="s">
        <v>49</v>
      </c>
      <c r="P71" s="28" t="s">
        <v>49</v>
      </c>
      <c r="Q71" s="28" t="s">
        <v>49</v>
      </c>
      <c r="R71" s="28" t="s">
        <v>49</v>
      </c>
      <c r="S71" s="28" t="s">
        <v>49</v>
      </c>
      <c r="T71" s="28" t="s">
        <v>49</v>
      </c>
      <c r="U71" s="28" t="s">
        <v>49</v>
      </c>
      <c r="V71" s="17">
        <f>IF($B71="","",COUNTIF(G71:U71,"OK"))</f>
        <v>15.0</v>
      </c>
      <c r="W71" s="17">
        <f>IF($B71="","",COUNTIF(G71:U71,"NOK"))</f>
        <v>0.0</v>
      </c>
      <c r="X71" s="9">
        <f>IF($B71="","",IF(V71+W71=0,"",V71/(V71+W71)))</f>
        <v>1.0</v>
      </c>
      <c r="Y71" s="17" t="str">
        <f>IF(X71="","",IF(X71&gt;=Setup!$C$7,"PASS","FAIL"))</f>
        <v>PASS</v>
      </c>
      <c r="Z71" s="17">
        <f>IF($B71="","",IF(W71=0,"",IF(COUNTIF(Findings!$B$6:$B$305,$A71)&gt;=W71,"OK","LOG FINDING")))</f>
        <v/>
      </c>
    </row>
    <row r="72" spans="1:26">
      <c r="A72" s="17" t="str">
        <f>IF($B72="","","A-1067")</f>
        <v>A-1067</v>
      </c>
      <c r="B72" s="24">
        <v>46122</v>
      </c>
      <c r="C72" s="23" t="s">
        <v>26</v>
      </c>
      <c r="D72" s="28" t="s">
        <v>18</v>
      </c>
      <c r="E72" s="23" t="s">
        <v>38</v>
      </c>
      <c r="F72" s="23" t="s">
        <v>43</v>
      </c>
      <c r="G72" s="28" t="s">
        <v>49</v>
      </c>
      <c r="H72" s="28" t="s">
        <v>49</v>
      </c>
      <c r="I72" s="28" t="s">
        <v>49</v>
      </c>
      <c r="J72" s="28" t="s">
        <v>49</v>
      </c>
      <c r="K72" s="28" t="s">
        <v>49</v>
      </c>
      <c r="L72" s="28" t="s">
        <v>49</v>
      </c>
      <c r="M72" s="28" t="s">
        <v>49</v>
      </c>
      <c r="N72" s="28" t="s">
        <v>49</v>
      </c>
      <c r="O72" s="28" t="s">
        <v>49</v>
      </c>
      <c r="P72" s="28" t="s">
        <v>49</v>
      </c>
      <c r="Q72" s="28" t="s">
        <v>49</v>
      </c>
      <c r="R72" s="28" t="s">
        <v>49</v>
      </c>
      <c r="S72" s="28" t="s">
        <v>49</v>
      </c>
      <c r="T72" s="28" t="s">
        <v>49</v>
      </c>
      <c r="U72" s="28" t="s">
        <v>49</v>
      </c>
      <c r="V72" s="17">
        <f>IF($B72="","",COUNTIF(G72:U72,"OK"))</f>
        <v>15.0</v>
      </c>
      <c r="W72" s="17">
        <f>IF($B72="","",COUNTIF(G72:U72,"NOK"))</f>
        <v>0.0</v>
      </c>
      <c r="X72" s="9">
        <f>IF($B72="","",IF(V72+W72=0,"",V72/(V72+W72)))</f>
        <v>1.0</v>
      </c>
      <c r="Y72" s="17" t="str">
        <f>IF(X72="","",IF(X72&gt;=Setup!$C$7,"PASS","FAIL"))</f>
        <v>PASS</v>
      </c>
      <c r="Z72" s="17">
        <f>IF($B72="","",IF(W72=0,"",IF(COUNTIF(Findings!$B$6:$B$305,$A72)&gt;=W72,"OK","LOG FINDING")))</f>
        <v/>
      </c>
    </row>
    <row r="73" spans="1:26">
      <c r="A73" s="17" t="str">
        <f>IF($B73="","","A-1068")</f>
        <v>A-1068</v>
      </c>
      <c r="B73" s="24">
        <v>46125</v>
      </c>
      <c r="C73" s="23" t="s">
        <v>23</v>
      </c>
      <c r="D73" s="28" t="s">
        <v>14</v>
      </c>
      <c r="E73" s="23" t="s">
        <v>33</v>
      </c>
      <c r="F73" s="23" t="s">
        <v>44</v>
      </c>
      <c r="G73" s="28" t="s">
        <v>49</v>
      </c>
      <c r="H73" s="28" t="s">
        <v>49</v>
      </c>
      <c r="I73" s="28" t="s">
        <v>49</v>
      </c>
      <c r="J73" s="28" t="s">
        <v>49</v>
      </c>
      <c r="K73" s="28" t="s">
        <v>49</v>
      </c>
      <c r="L73" s="28" t="s">
        <v>49</v>
      </c>
      <c r="M73" s="28" t="s">
        <v>49</v>
      </c>
      <c r="N73" s="28" t="s">
        <v>49</v>
      </c>
      <c r="O73" s="28" t="s">
        <v>49</v>
      </c>
      <c r="P73" s="28" t="s">
        <v>49</v>
      </c>
      <c r="Q73" s="28" t="s">
        <v>49</v>
      </c>
      <c r="R73" s="28" t="s">
        <v>49</v>
      </c>
      <c r="S73" s="28" t="s">
        <v>49</v>
      </c>
      <c r="T73" s="28" t="s">
        <v>49</v>
      </c>
      <c r="U73" s="28" t="s">
        <v>49</v>
      </c>
      <c r="V73" s="17">
        <f>IF($B73="","",COUNTIF(G73:U73,"OK"))</f>
        <v>15.0</v>
      </c>
      <c r="W73" s="17">
        <f>IF($B73="","",COUNTIF(G73:U73,"NOK"))</f>
        <v>0.0</v>
      </c>
      <c r="X73" s="9">
        <f>IF($B73="","",IF(V73+W73=0,"",V73/(V73+W73)))</f>
        <v>1.0</v>
      </c>
      <c r="Y73" s="17" t="str">
        <f>IF(X73="","",IF(X73&gt;=Setup!$C$7,"PASS","FAIL"))</f>
        <v>PASS</v>
      </c>
      <c r="Z73" s="17">
        <f>IF($B73="","",IF(W73=0,"",IF(COUNTIF(Findings!$B$6:$B$305,$A73)&gt;=W73,"OK","LOG FINDING")))</f>
        <v/>
      </c>
    </row>
    <row r="74" spans="1:26">
      <c r="A74" s="17" t="str">
        <f>IF($B74="","","A-1069")</f>
        <v>A-1069</v>
      </c>
      <c r="B74" s="24">
        <v>46127</v>
      </c>
      <c r="C74" s="23" t="s">
        <v>25</v>
      </c>
      <c r="D74" s="28" t="s">
        <v>16</v>
      </c>
      <c r="E74" s="23" t="s">
        <v>36</v>
      </c>
      <c r="F74" s="23" t="s">
        <v>43</v>
      </c>
      <c r="G74" s="28" t="s">
        <v>49</v>
      </c>
      <c r="H74" s="28" t="s">
        <v>49</v>
      </c>
      <c r="I74" s="28" t="s">
        <v>49</v>
      </c>
      <c r="J74" s="28" t="s">
        <v>49</v>
      </c>
      <c r="K74" s="28" t="s">
        <v>49</v>
      </c>
      <c r="L74" s="28" t="s">
        <v>49</v>
      </c>
      <c r="M74" s="28" t="s">
        <v>49</v>
      </c>
      <c r="N74" s="28" t="s">
        <v>49</v>
      </c>
      <c r="O74" s="28" t="s">
        <v>49</v>
      </c>
      <c r="P74" s="28" t="s">
        <v>49</v>
      </c>
      <c r="Q74" s="28" t="s">
        <v>49</v>
      </c>
      <c r="R74" s="28" t="s">
        <v>49</v>
      </c>
      <c r="S74" s="28" t="s">
        <v>49</v>
      </c>
      <c r="T74" s="28" t="s">
        <v>50</v>
      </c>
      <c r="U74" s="28" t="s">
        <v>49</v>
      </c>
      <c r="V74" s="17">
        <f>IF($B74="","",COUNTIF(G74:U74,"OK"))</f>
        <v>14.0</v>
      </c>
      <c r="W74" s="17">
        <f>IF($B74="","",COUNTIF(G74:U74,"NOK"))</f>
        <v>1.0</v>
      </c>
      <c r="X74" s="9">
        <f>IF($B74="","",IF(V74+W74=0,"",V74/(V74+W74)))</f>
        <v>0.9333333333333333</v>
      </c>
      <c r="Y74" s="17" t="str">
        <f>IF(X74="","",IF(X74&gt;=Setup!$C$7,"PASS","FAIL"))</f>
        <v>FAIL</v>
      </c>
      <c r="Z74" s="17" t="str">
        <f>IF($B74="","",IF(W74=0,"",IF(COUNTIF(Findings!$B$6:$B$305,$A74)&gt;=W74,"OK","LOG FINDING")))</f>
        <v>OK</v>
      </c>
    </row>
    <row r="75" spans="1:26">
      <c r="A75" s="17" t="str">
        <f>IF($B75="","","A-1070")</f>
        <v>A-1070</v>
      </c>
      <c r="B75" s="24">
        <v>46128</v>
      </c>
      <c r="C75" s="23" t="s">
        <v>24</v>
      </c>
      <c r="D75" s="28" t="s">
        <v>14</v>
      </c>
      <c r="E75" s="23" t="s">
        <v>33</v>
      </c>
      <c r="F75" s="23" t="s">
        <v>43</v>
      </c>
      <c r="G75" s="28" t="s">
        <v>49</v>
      </c>
      <c r="H75" s="28" t="s">
        <v>49</v>
      </c>
      <c r="I75" s="28" t="s">
        <v>49</v>
      </c>
      <c r="J75" s="28" t="s">
        <v>51</v>
      </c>
      <c r="K75" s="28" t="s">
        <v>49</v>
      </c>
      <c r="L75" s="28" t="s">
        <v>49</v>
      </c>
      <c r="M75" s="28" t="s">
        <v>49</v>
      </c>
      <c r="N75" s="28" t="s">
        <v>49</v>
      </c>
      <c r="O75" s="28" t="s">
        <v>49</v>
      </c>
      <c r="P75" s="28" t="s">
        <v>49</v>
      </c>
      <c r="Q75" s="28" t="s">
        <v>49</v>
      </c>
      <c r="R75" s="28" t="s">
        <v>49</v>
      </c>
      <c r="S75" s="28" t="s">
        <v>49</v>
      </c>
      <c r="T75" s="28" t="s">
        <v>49</v>
      </c>
      <c r="U75" s="28" t="s">
        <v>49</v>
      </c>
      <c r="V75" s="17">
        <f>IF($B75="","",COUNTIF(G75:U75,"OK"))</f>
        <v>14.0</v>
      </c>
      <c r="W75" s="17">
        <f>IF($B75="","",COUNTIF(G75:U75,"NOK"))</f>
        <v>0.0</v>
      </c>
      <c r="X75" s="9">
        <f>IF($B75="","",IF(V75+W75=0,"",V75/(V75+W75)))</f>
        <v>1.0</v>
      </c>
      <c r="Y75" s="17" t="str">
        <f>IF(X75="","",IF(X75&gt;=Setup!$C$7,"PASS","FAIL"))</f>
        <v>PASS</v>
      </c>
      <c r="Z75" s="17">
        <f>IF($B75="","",IF(W75=0,"",IF(COUNTIF(Findings!$B$6:$B$305,$A75)&gt;=W75,"OK","LOG FINDING")))</f>
        <v/>
      </c>
    </row>
    <row r="76" spans="1:26">
      <c r="A76" s="17" t="str">
        <f>IF($B76="","","A-1071")</f>
        <v>A-1071</v>
      </c>
      <c r="B76" s="24">
        <v>46128</v>
      </c>
      <c r="C76" s="23" t="s">
        <v>26</v>
      </c>
      <c r="D76" s="28" t="s">
        <v>14</v>
      </c>
      <c r="E76" s="23" t="s">
        <v>32</v>
      </c>
      <c r="F76" s="23" t="s">
        <v>44</v>
      </c>
      <c r="G76" s="28" t="s">
        <v>49</v>
      </c>
      <c r="H76" s="28" t="s">
        <v>49</v>
      </c>
      <c r="I76" s="28" t="s">
        <v>49</v>
      </c>
      <c r="J76" s="28" t="s">
        <v>51</v>
      </c>
      <c r="K76" s="28" t="s">
        <v>49</v>
      </c>
      <c r="L76" s="28" t="s">
        <v>49</v>
      </c>
      <c r="M76" s="28" t="s">
        <v>49</v>
      </c>
      <c r="N76" s="28" t="s">
        <v>49</v>
      </c>
      <c r="O76" s="28" t="s">
        <v>49</v>
      </c>
      <c r="P76" s="28" t="s">
        <v>49</v>
      </c>
      <c r="Q76" s="28" t="s">
        <v>51</v>
      </c>
      <c r="R76" s="28" t="s">
        <v>49</v>
      </c>
      <c r="S76" s="28" t="s">
        <v>49</v>
      </c>
      <c r="T76" s="28" t="s">
        <v>49</v>
      </c>
      <c r="U76" s="28" t="s">
        <v>49</v>
      </c>
      <c r="V76" s="17">
        <f>IF($B76="","",COUNTIF(G76:U76,"OK"))</f>
        <v>13.0</v>
      </c>
      <c r="W76" s="17">
        <f>IF($B76="","",COUNTIF(G76:U76,"NOK"))</f>
        <v>0.0</v>
      </c>
      <c r="X76" s="9">
        <f>IF($B76="","",IF(V76+W76=0,"",V76/(V76+W76)))</f>
        <v>1.0</v>
      </c>
      <c r="Y76" s="17" t="str">
        <f>IF(X76="","",IF(X76&gt;=Setup!$C$7,"PASS","FAIL"))</f>
        <v>PASS</v>
      </c>
      <c r="Z76" s="17">
        <f>IF($B76="","",IF(W76=0,"",IF(COUNTIF(Findings!$B$6:$B$305,$A76)&gt;=W76,"OK","LOG FINDING")))</f>
        <v/>
      </c>
    </row>
    <row r="77" spans="1:26">
      <c r="A77" s="17" t="str">
        <f>IF($B77="","","A-1072")</f>
        <v>A-1072</v>
      </c>
      <c r="B77" s="24">
        <v>46128</v>
      </c>
      <c r="C77" s="23" t="s">
        <v>25</v>
      </c>
      <c r="D77" s="28" t="s">
        <v>14</v>
      </c>
      <c r="E77" s="23" t="s">
        <v>34</v>
      </c>
      <c r="F77" s="23" t="s">
        <v>44</v>
      </c>
      <c r="G77" s="28" t="s">
        <v>49</v>
      </c>
      <c r="H77" s="28" t="s">
        <v>49</v>
      </c>
      <c r="I77" s="28" t="s">
        <v>49</v>
      </c>
      <c r="J77" s="28" t="s">
        <v>49</v>
      </c>
      <c r="K77" s="28" t="s">
        <v>49</v>
      </c>
      <c r="L77" s="28" t="s">
        <v>49</v>
      </c>
      <c r="M77" s="28" t="s">
        <v>49</v>
      </c>
      <c r="N77" s="28" t="s">
        <v>49</v>
      </c>
      <c r="O77" s="28" t="s">
        <v>49</v>
      </c>
      <c r="P77" s="28" t="s">
        <v>49</v>
      </c>
      <c r="Q77" s="28" t="s">
        <v>49</v>
      </c>
      <c r="R77" s="28" t="s">
        <v>49</v>
      </c>
      <c r="S77" s="28" t="s">
        <v>49</v>
      </c>
      <c r="T77" s="28" t="s">
        <v>49</v>
      </c>
      <c r="U77" s="28" t="s">
        <v>49</v>
      </c>
      <c r="V77" s="17">
        <f>IF($B77="","",COUNTIF(G77:U77,"OK"))</f>
        <v>15.0</v>
      </c>
      <c r="W77" s="17">
        <f>IF($B77="","",COUNTIF(G77:U77,"NOK"))</f>
        <v>0.0</v>
      </c>
      <c r="X77" s="9">
        <f>IF($B77="","",IF(V77+W77=0,"",V77/(V77+W77)))</f>
        <v>1.0</v>
      </c>
      <c r="Y77" s="17" t="str">
        <f>IF(X77="","",IF(X77&gt;=Setup!$C$7,"PASS","FAIL"))</f>
        <v>PASS</v>
      </c>
      <c r="Z77" s="17">
        <f>IF($B77="","",IF(W77=0,"",IF(COUNTIF(Findings!$B$6:$B$305,$A77)&gt;=W77,"OK","LOG FINDING")))</f>
        <v/>
      </c>
    </row>
    <row r="78" spans="1:26">
      <c r="A78" s="17" t="str">
        <f>IF($B78="","","A-1073")</f>
        <v>A-1073</v>
      </c>
      <c r="B78" s="24">
        <v>46133</v>
      </c>
      <c r="C78" s="23" t="s">
        <v>22</v>
      </c>
      <c r="D78" s="28" t="s">
        <v>14</v>
      </c>
      <c r="E78" s="23" t="s">
        <v>34</v>
      </c>
      <c r="F78" s="23" t="s">
        <v>44</v>
      </c>
      <c r="G78" s="28" t="s">
        <v>49</v>
      </c>
      <c r="H78" s="28" t="s">
        <v>49</v>
      </c>
      <c r="I78" s="28" t="s">
        <v>50</v>
      </c>
      <c r="J78" s="28" t="s">
        <v>49</v>
      </c>
      <c r="K78" s="28" t="s">
        <v>49</v>
      </c>
      <c r="L78" s="28" t="s">
        <v>49</v>
      </c>
      <c r="M78" s="28" t="s">
        <v>49</v>
      </c>
      <c r="N78" s="28" t="s">
        <v>49</v>
      </c>
      <c r="O78" s="28" t="s">
        <v>49</v>
      </c>
      <c r="P78" s="28" t="s">
        <v>49</v>
      </c>
      <c r="Q78" s="28" t="s">
        <v>50</v>
      </c>
      <c r="R78" s="28" t="s">
        <v>49</v>
      </c>
      <c r="S78" s="28" t="s">
        <v>49</v>
      </c>
      <c r="T78" s="28" t="s">
        <v>49</v>
      </c>
      <c r="U78" s="28" t="s">
        <v>49</v>
      </c>
      <c r="V78" s="17">
        <f>IF($B78="","",COUNTIF(G78:U78,"OK"))</f>
        <v>13.0</v>
      </c>
      <c r="W78" s="17">
        <f>IF($B78="","",COUNTIF(G78:U78,"NOK"))</f>
        <v>2.0</v>
      </c>
      <c r="X78" s="9">
        <f>IF($B78="","",IF(V78+W78=0,"",V78/(V78+W78)))</f>
        <v>0.8666666666666667</v>
      </c>
      <c r="Y78" s="17" t="str">
        <f>IF(X78="","",IF(X78&gt;=Setup!$C$7,"PASS","FAIL"))</f>
        <v>FAIL</v>
      </c>
      <c r="Z78" s="17" t="str">
        <f>IF($B78="","",IF(W78=0,"",IF(COUNTIF(Findings!$B$6:$B$305,$A78)&gt;=W78,"OK","LOG FINDING")))</f>
        <v>OK</v>
      </c>
    </row>
    <row r="79" spans="1:26">
      <c r="A79" s="17" t="str">
        <f>IF($B79="","","A-1074")</f>
        <v>A-1074</v>
      </c>
      <c r="B79" s="24">
        <v>46135</v>
      </c>
      <c r="C79" s="23" t="s">
        <v>23</v>
      </c>
      <c r="D79" s="28" t="s">
        <v>14</v>
      </c>
      <c r="E79" s="23" t="s">
        <v>34</v>
      </c>
      <c r="F79" s="23" t="s">
        <v>43</v>
      </c>
      <c r="G79" s="28" t="s">
        <v>49</v>
      </c>
      <c r="H79" s="28" t="s">
        <v>49</v>
      </c>
      <c r="I79" s="28" t="s">
        <v>50</v>
      </c>
      <c r="J79" s="28" t="s">
        <v>49</v>
      </c>
      <c r="K79" s="28" t="s">
        <v>49</v>
      </c>
      <c r="L79" s="28" t="s">
        <v>49</v>
      </c>
      <c r="M79" s="28" t="s">
        <v>49</v>
      </c>
      <c r="N79" s="28" t="s">
        <v>49</v>
      </c>
      <c r="O79" s="28" t="s">
        <v>49</v>
      </c>
      <c r="P79" s="28" t="s">
        <v>49</v>
      </c>
      <c r="Q79" s="28" t="s">
        <v>49</v>
      </c>
      <c r="R79" s="28" t="s">
        <v>49</v>
      </c>
      <c r="S79" s="28" t="s">
        <v>49</v>
      </c>
      <c r="T79" s="28" t="s">
        <v>49</v>
      </c>
      <c r="U79" s="28" t="s">
        <v>49</v>
      </c>
      <c r="V79" s="17">
        <f>IF($B79="","",COUNTIF(G79:U79,"OK"))</f>
        <v>14.0</v>
      </c>
      <c r="W79" s="17">
        <f>IF($B79="","",COUNTIF(G79:U79,"NOK"))</f>
        <v>1.0</v>
      </c>
      <c r="X79" s="9">
        <f>IF($B79="","",IF(V79+W79=0,"",V79/(V79+W79)))</f>
        <v>0.9333333333333333</v>
      </c>
      <c r="Y79" s="17" t="str">
        <f>IF(X79="","",IF(X79&gt;=Setup!$C$7,"PASS","FAIL"))</f>
        <v>FAIL</v>
      </c>
      <c r="Z79" s="17" t="str">
        <f>IF($B79="","",IF(W79=0,"",IF(COUNTIF(Findings!$B$6:$B$305,$A79)&gt;=W79,"OK","LOG FINDING")))</f>
        <v>OK</v>
      </c>
    </row>
    <row r="80" spans="1:26">
      <c r="A80" s="17" t="str">
        <f>IF($B80="","","A-1075")</f>
        <v>A-1075</v>
      </c>
      <c r="B80" s="24">
        <v>46140</v>
      </c>
      <c r="C80" s="23" t="s">
        <v>24</v>
      </c>
      <c r="D80" s="28" t="s">
        <v>18</v>
      </c>
      <c r="E80" s="23" t="s">
        <v>38</v>
      </c>
      <c r="F80" s="23" t="s">
        <v>43</v>
      </c>
      <c r="G80" s="28" t="s">
        <v>49</v>
      </c>
      <c r="H80" s="28" t="s">
        <v>49</v>
      </c>
      <c r="I80" s="28" t="s">
        <v>49</v>
      </c>
      <c r="J80" s="28" t="s">
        <v>49</v>
      </c>
      <c r="K80" s="28" t="s">
        <v>49</v>
      </c>
      <c r="L80" s="28" t="s">
        <v>49</v>
      </c>
      <c r="M80" s="28" t="s">
        <v>49</v>
      </c>
      <c r="N80" s="28" t="s">
        <v>49</v>
      </c>
      <c r="O80" s="28" t="s">
        <v>49</v>
      </c>
      <c r="P80" s="28" t="s">
        <v>49</v>
      </c>
      <c r="Q80" s="28" t="s">
        <v>49</v>
      </c>
      <c r="R80" s="28" t="s">
        <v>49</v>
      </c>
      <c r="S80" s="28" t="s">
        <v>49</v>
      </c>
      <c r="T80" s="28" t="s">
        <v>49</v>
      </c>
      <c r="U80" s="28" t="s">
        <v>49</v>
      </c>
      <c r="V80" s="17">
        <f>IF($B80="","",COUNTIF(G80:U80,"OK"))</f>
        <v>15.0</v>
      </c>
      <c r="W80" s="17">
        <f>IF($B80="","",COUNTIF(G80:U80,"NOK"))</f>
        <v>0.0</v>
      </c>
      <c r="X80" s="9">
        <f>IF($B80="","",IF(V80+W80=0,"",V80/(V80+W80)))</f>
        <v>1.0</v>
      </c>
      <c r="Y80" s="17" t="str">
        <f>IF(X80="","",IF(X80&gt;=Setup!$C$7,"PASS","FAIL"))</f>
        <v>PASS</v>
      </c>
      <c r="Z80" s="17">
        <f>IF($B80="","",IF(W80=0,"",IF(COUNTIF(Findings!$B$6:$B$305,$A80)&gt;=W80,"OK","LOG FINDING")))</f>
        <v/>
      </c>
    </row>
    <row r="81" spans="1:26">
      <c r="A81" s="17" t="str">
        <f>IF($B81="","","A-1076")</f>
        <v>A-1076</v>
      </c>
      <c r="B81" s="24">
        <v>46140</v>
      </c>
      <c r="C81" s="23" t="s">
        <v>23</v>
      </c>
      <c r="D81" s="28" t="s">
        <v>16</v>
      </c>
      <c r="E81" s="23" t="s">
        <v>36</v>
      </c>
      <c r="F81" s="23" t="s">
        <v>43</v>
      </c>
      <c r="G81" s="28" t="s">
        <v>49</v>
      </c>
      <c r="H81" s="28" t="s">
        <v>49</v>
      </c>
      <c r="I81" s="28" t="s">
        <v>49</v>
      </c>
      <c r="J81" s="28" t="s">
        <v>51</v>
      </c>
      <c r="K81" s="28" t="s">
        <v>49</v>
      </c>
      <c r="L81" s="28" t="s">
        <v>49</v>
      </c>
      <c r="M81" s="28" t="s">
        <v>49</v>
      </c>
      <c r="N81" s="28" t="s">
        <v>49</v>
      </c>
      <c r="O81" s="28" t="s">
        <v>49</v>
      </c>
      <c r="P81" s="28" t="s">
        <v>49</v>
      </c>
      <c r="Q81" s="28" t="s">
        <v>49</v>
      </c>
      <c r="R81" s="28" t="s">
        <v>49</v>
      </c>
      <c r="S81" s="28" t="s">
        <v>49</v>
      </c>
      <c r="T81" s="28" t="s">
        <v>49</v>
      </c>
      <c r="U81" s="28" t="s">
        <v>49</v>
      </c>
      <c r="V81" s="17">
        <f>IF($B81="","",COUNTIF(G81:U81,"OK"))</f>
        <v>14.0</v>
      </c>
      <c r="W81" s="17">
        <f>IF($B81="","",COUNTIF(G81:U81,"NOK"))</f>
        <v>0.0</v>
      </c>
      <c r="X81" s="9">
        <f>IF($B81="","",IF(V81+W81=0,"",V81/(V81+W81)))</f>
        <v>1.0</v>
      </c>
      <c r="Y81" s="17" t="str">
        <f>IF(X81="","",IF(X81&gt;=Setup!$C$7,"PASS","FAIL"))</f>
        <v>PASS</v>
      </c>
      <c r="Z81" s="17">
        <f>IF($B81="","",IF(W81=0,"",IF(COUNTIF(Findings!$B$6:$B$305,$A81)&gt;=W81,"OK","LOG FINDING")))</f>
        <v/>
      </c>
    </row>
    <row r="82" spans="1:26">
      <c r="A82" s="17" t="str">
        <f>IF($B82="","","A-1077")</f>
        <v>A-1077</v>
      </c>
      <c r="B82" s="24">
        <v>46141</v>
      </c>
      <c r="C82" s="23" t="s">
        <v>24</v>
      </c>
      <c r="D82" s="28" t="s">
        <v>14</v>
      </c>
      <c r="E82" s="23" t="s">
        <v>34</v>
      </c>
      <c r="F82" s="23" t="s">
        <v>44</v>
      </c>
      <c r="G82" s="28" t="s">
        <v>49</v>
      </c>
      <c r="H82" s="28" t="s">
        <v>49</v>
      </c>
      <c r="I82" s="28" t="s">
        <v>49</v>
      </c>
      <c r="J82" s="28" t="s">
        <v>49</v>
      </c>
      <c r="K82" s="28" t="s">
        <v>49</v>
      </c>
      <c r="L82" s="28" t="s">
        <v>49</v>
      </c>
      <c r="M82" s="28" t="s">
        <v>50</v>
      </c>
      <c r="N82" s="28" t="s">
        <v>49</v>
      </c>
      <c r="O82" s="28" t="s">
        <v>49</v>
      </c>
      <c r="P82" s="28" t="s">
        <v>49</v>
      </c>
      <c r="Q82" s="28" t="s">
        <v>51</v>
      </c>
      <c r="R82" s="28" t="s">
        <v>49</v>
      </c>
      <c r="S82" s="28" t="s">
        <v>49</v>
      </c>
      <c r="T82" s="28" t="s">
        <v>49</v>
      </c>
      <c r="U82" s="28" t="s">
        <v>49</v>
      </c>
      <c r="V82" s="17">
        <f>IF($B82="","",COUNTIF(G82:U82,"OK"))</f>
        <v>13.0</v>
      </c>
      <c r="W82" s="17">
        <f>IF($B82="","",COUNTIF(G82:U82,"NOK"))</f>
        <v>1.0</v>
      </c>
      <c r="X82" s="9">
        <f>IF($B82="","",IF(V82+W82=0,"",V82/(V82+W82)))</f>
        <v>0.9285714285714286</v>
      </c>
      <c r="Y82" s="17" t="str">
        <f>IF(X82="","",IF(X82&gt;=Setup!$C$7,"PASS","FAIL"))</f>
        <v>FAIL</v>
      </c>
      <c r="Z82" s="17" t="str">
        <f>IF($B82="","",IF(W82=0,"",IF(COUNTIF(Findings!$B$6:$B$305,$A82)&gt;=W82,"OK","LOG FINDING")))</f>
        <v>OK</v>
      </c>
    </row>
    <row r="83" spans="1:26">
      <c r="A83" s="17" t="str">
        <f>IF($B83="","","A-1078")</f>
        <v>A-1078</v>
      </c>
      <c r="B83" s="24">
        <v>46142</v>
      </c>
      <c r="C83" s="23" t="s">
        <v>22</v>
      </c>
      <c r="D83" s="28" t="s">
        <v>14</v>
      </c>
      <c r="E83" s="23" t="s">
        <v>33</v>
      </c>
      <c r="F83" s="23" t="s">
        <v>44</v>
      </c>
      <c r="G83" s="28" t="s">
        <v>49</v>
      </c>
      <c r="H83" s="28" t="s">
        <v>49</v>
      </c>
      <c r="I83" s="28" t="s">
        <v>49</v>
      </c>
      <c r="J83" s="28" t="s">
        <v>49</v>
      </c>
      <c r="K83" s="28" t="s">
        <v>49</v>
      </c>
      <c r="L83" s="28" t="s">
        <v>49</v>
      </c>
      <c r="M83" s="28" t="s">
        <v>49</v>
      </c>
      <c r="N83" s="28" t="s">
        <v>49</v>
      </c>
      <c r="O83" s="28" t="s">
        <v>49</v>
      </c>
      <c r="P83" s="28" t="s">
        <v>49</v>
      </c>
      <c r="Q83" s="28" t="s">
        <v>51</v>
      </c>
      <c r="R83" s="28" t="s">
        <v>49</v>
      </c>
      <c r="S83" s="28" t="s">
        <v>49</v>
      </c>
      <c r="T83" s="28" t="s">
        <v>49</v>
      </c>
      <c r="U83" s="28" t="s">
        <v>49</v>
      </c>
      <c r="V83" s="17">
        <f>IF($B83="","",COUNTIF(G83:U83,"OK"))</f>
        <v>14.0</v>
      </c>
      <c r="W83" s="17">
        <f>IF($B83="","",COUNTIF(G83:U83,"NOK"))</f>
        <v>0.0</v>
      </c>
      <c r="X83" s="9">
        <f>IF($B83="","",IF(V83+W83=0,"",V83/(V83+W83)))</f>
        <v>1.0</v>
      </c>
      <c r="Y83" s="17" t="str">
        <f>IF(X83="","",IF(X83&gt;=Setup!$C$7,"PASS","FAIL"))</f>
        <v>PASS</v>
      </c>
      <c r="Z83" s="17">
        <f>IF($B83="","",IF(W83=0,"",IF(COUNTIF(Findings!$B$6:$B$305,$A83)&gt;=W83,"OK","LOG FINDING")))</f>
        <v/>
      </c>
    </row>
    <row r="84" spans="1:26">
      <c r="A84" s="17" t="str">
        <f>IF($B84="","","A-1079")</f>
        <v>A-1079</v>
      </c>
      <c r="B84" s="24">
        <v>46143</v>
      </c>
      <c r="C84" s="23" t="s">
        <v>25</v>
      </c>
      <c r="D84" s="28" t="s">
        <v>16</v>
      </c>
      <c r="E84" s="23" t="s">
        <v>36</v>
      </c>
      <c r="F84" s="23" t="s">
        <v>44</v>
      </c>
      <c r="G84" s="28" t="s">
        <v>49</v>
      </c>
      <c r="H84" s="28" t="s">
        <v>49</v>
      </c>
      <c r="I84" s="28" t="s">
        <v>49</v>
      </c>
      <c r="J84" s="28" t="s">
        <v>49</v>
      </c>
      <c r="K84" s="28" t="s">
        <v>49</v>
      </c>
      <c r="L84" s="28" t="s">
        <v>49</v>
      </c>
      <c r="M84" s="28" t="s">
        <v>49</v>
      </c>
      <c r="N84" s="28" t="s">
        <v>49</v>
      </c>
      <c r="O84" s="28" t="s">
        <v>49</v>
      </c>
      <c r="P84" s="28" t="s">
        <v>49</v>
      </c>
      <c r="Q84" s="28" t="s">
        <v>51</v>
      </c>
      <c r="R84" s="28" t="s">
        <v>49</v>
      </c>
      <c r="S84" s="28" t="s">
        <v>49</v>
      </c>
      <c r="T84" s="28" t="s">
        <v>49</v>
      </c>
      <c r="U84" s="28" t="s">
        <v>49</v>
      </c>
      <c r="V84" s="17">
        <f>IF($B84="","",COUNTIF(G84:U84,"OK"))</f>
        <v>14.0</v>
      </c>
      <c r="W84" s="17">
        <f>IF($B84="","",COUNTIF(G84:U84,"NOK"))</f>
        <v>0.0</v>
      </c>
      <c r="X84" s="9">
        <f>IF($B84="","",IF(V84+W84=0,"",V84/(V84+W84)))</f>
        <v>1.0</v>
      </c>
      <c r="Y84" s="17" t="str">
        <f>IF(X84="","",IF(X84&gt;=Setup!$C$7,"PASS","FAIL"))</f>
        <v>PASS</v>
      </c>
      <c r="Z84" s="17">
        <f>IF($B84="","",IF(W84=0,"",IF(COUNTIF(Findings!$B$6:$B$305,$A84)&gt;=W84,"OK","LOG FINDING")))</f>
        <v/>
      </c>
    </row>
    <row r="85" spans="1:26">
      <c r="A85" s="17" t="str">
        <f>IF($B85="","","A-1080")</f>
        <v>A-1080</v>
      </c>
      <c r="B85" s="24">
        <v>46143</v>
      </c>
      <c r="C85" s="23" t="s">
        <v>25</v>
      </c>
      <c r="D85" s="28" t="s">
        <v>18</v>
      </c>
      <c r="E85" s="23" t="s">
        <v>37</v>
      </c>
      <c r="F85" s="23" t="s">
        <v>43</v>
      </c>
      <c r="G85" s="28" t="s">
        <v>49</v>
      </c>
      <c r="H85" s="28" t="s">
        <v>49</v>
      </c>
      <c r="I85" s="28" t="s">
        <v>49</v>
      </c>
      <c r="J85" s="28" t="s">
        <v>49</v>
      </c>
      <c r="K85" s="28" t="s">
        <v>49</v>
      </c>
      <c r="L85" s="28" t="s">
        <v>49</v>
      </c>
      <c r="M85" s="28" t="s">
        <v>49</v>
      </c>
      <c r="N85" s="28" t="s">
        <v>49</v>
      </c>
      <c r="O85" s="28" t="s">
        <v>49</v>
      </c>
      <c r="P85" s="28" t="s">
        <v>50</v>
      </c>
      <c r="Q85" s="28" t="s">
        <v>49</v>
      </c>
      <c r="R85" s="28" t="s">
        <v>49</v>
      </c>
      <c r="S85" s="28" t="s">
        <v>49</v>
      </c>
      <c r="T85" s="28" t="s">
        <v>49</v>
      </c>
      <c r="U85" s="28" t="s">
        <v>49</v>
      </c>
      <c r="V85" s="17">
        <f>IF($B85="","",COUNTIF(G85:U85,"OK"))</f>
        <v>14.0</v>
      </c>
      <c r="W85" s="17">
        <f>IF($B85="","",COUNTIF(G85:U85,"NOK"))</f>
        <v>1.0</v>
      </c>
      <c r="X85" s="9">
        <f>IF($B85="","",IF(V85+W85=0,"",V85/(V85+W85)))</f>
        <v>0.9333333333333333</v>
      </c>
      <c r="Y85" s="17" t="str">
        <f>IF(X85="","",IF(X85&gt;=Setup!$C$7,"PASS","FAIL"))</f>
        <v>FAIL</v>
      </c>
      <c r="Z85" s="17" t="str">
        <f>IF($B85="","",IF(W85=0,"",IF(COUNTIF(Findings!$B$6:$B$305,$A85)&gt;=W85,"OK","LOG FINDING")))</f>
        <v>OK</v>
      </c>
    </row>
    <row r="86" spans="1:26">
      <c r="A86" s="17" t="str">
        <f>IF($B86="","","A-1081")</f>
        <v>A-1081</v>
      </c>
      <c r="B86" s="24">
        <v>46143</v>
      </c>
      <c r="C86" s="23" t="s">
        <v>22</v>
      </c>
      <c r="D86" s="28" t="s">
        <v>16</v>
      </c>
      <c r="E86" s="23" t="s">
        <v>36</v>
      </c>
      <c r="F86" s="23" t="s">
        <v>43</v>
      </c>
      <c r="G86" s="28" t="s">
        <v>49</v>
      </c>
      <c r="H86" s="28" t="s">
        <v>49</v>
      </c>
      <c r="I86" s="28" t="s">
        <v>49</v>
      </c>
      <c r="J86" s="28" t="s">
        <v>49</v>
      </c>
      <c r="K86" s="28" t="s">
        <v>49</v>
      </c>
      <c r="L86" s="28" t="s">
        <v>49</v>
      </c>
      <c r="M86" s="28" t="s">
        <v>49</v>
      </c>
      <c r="N86" s="28" t="s">
        <v>49</v>
      </c>
      <c r="O86" s="28" t="s">
        <v>49</v>
      </c>
      <c r="P86" s="28" t="s">
        <v>49</v>
      </c>
      <c r="Q86" s="28" t="s">
        <v>49</v>
      </c>
      <c r="R86" s="28" t="s">
        <v>49</v>
      </c>
      <c r="S86" s="28" t="s">
        <v>49</v>
      </c>
      <c r="T86" s="28" t="s">
        <v>49</v>
      </c>
      <c r="U86" s="28" t="s">
        <v>49</v>
      </c>
      <c r="V86" s="17">
        <f>IF($B86="","",COUNTIF(G86:U86,"OK"))</f>
        <v>15.0</v>
      </c>
      <c r="W86" s="17">
        <f>IF($B86="","",COUNTIF(G86:U86,"NOK"))</f>
        <v>0.0</v>
      </c>
      <c r="X86" s="9">
        <f>IF($B86="","",IF(V86+W86=0,"",V86/(V86+W86)))</f>
        <v>1.0</v>
      </c>
      <c r="Y86" s="17" t="str">
        <f>IF(X86="","",IF(X86&gt;=Setup!$C$7,"PASS","FAIL"))</f>
        <v>PASS</v>
      </c>
      <c r="Z86" s="17">
        <f>IF($B86="","",IF(W86=0,"",IF(COUNTIF(Findings!$B$6:$B$305,$A86)&gt;=W86,"OK","LOG FINDING")))</f>
        <v/>
      </c>
    </row>
    <row r="87" spans="1:26">
      <c r="A87" s="17" t="str">
        <f>IF($B87="","","A-1082")</f>
        <v>A-1082</v>
      </c>
      <c r="B87" s="24">
        <v>46146</v>
      </c>
      <c r="C87" s="23" t="s">
        <v>26</v>
      </c>
      <c r="D87" s="28" t="s">
        <v>14</v>
      </c>
      <c r="E87" s="23" t="s">
        <v>34</v>
      </c>
      <c r="F87" s="23" t="s">
        <v>43</v>
      </c>
      <c r="G87" s="28" t="s">
        <v>49</v>
      </c>
      <c r="H87" s="28" t="s">
        <v>49</v>
      </c>
      <c r="I87" s="28" t="s">
        <v>49</v>
      </c>
      <c r="J87" s="28" t="s">
        <v>51</v>
      </c>
      <c r="K87" s="28" t="s">
        <v>49</v>
      </c>
      <c r="L87" s="28" t="s">
        <v>49</v>
      </c>
      <c r="M87" s="28" t="s">
        <v>50</v>
      </c>
      <c r="N87" s="28" t="s">
        <v>49</v>
      </c>
      <c r="O87" s="28" t="s">
        <v>49</v>
      </c>
      <c r="P87" s="28" t="s">
        <v>50</v>
      </c>
      <c r="Q87" s="28" t="s">
        <v>49</v>
      </c>
      <c r="R87" s="28" t="s">
        <v>49</v>
      </c>
      <c r="S87" s="28" t="s">
        <v>49</v>
      </c>
      <c r="T87" s="28" t="s">
        <v>49</v>
      </c>
      <c r="U87" s="28" t="s">
        <v>49</v>
      </c>
      <c r="V87" s="17">
        <f>IF($B87="","",COUNTIF(G87:U87,"OK"))</f>
        <v>12.0</v>
      </c>
      <c r="W87" s="17">
        <f>IF($B87="","",COUNTIF(G87:U87,"NOK"))</f>
        <v>2.0</v>
      </c>
      <c r="X87" s="9">
        <f>IF($B87="","",IF(V87+W87=0,"",V87/(V87+W87)))</f>
        <v>0.8571428571428571</v>
      </c>
      <c r="Y87" s="17" t="str">
        <f>IF(X87="","",IF(X87&gt;=Setup!$C$7,"PASS","FAIL"))</f>
        <v>FAIL</v>
      </c>
      <c r="Z87" s="17" t="str">
        <f>IF($B87="","",IF(W87=0,"",IF(COUNTIF(Findings!$B$6:$B$305,$A87)&gt;=W87,"OK","LOG FINDING")))</f>
        <v>OK</v>
      </c>
    </row>
    <row r="88" spans="1:26">
      <c r="A88" s="17" t="str">
        <f>IF($B88="","","A-1083")</f>
        <v>A-1083</v>
      </c>
      <c r="B88" s="24">
        <v>46146</v>
      </c>
      <c r="C88" s="23" t="s">
        <v>22</v>
      </c>
      <c r="D88" s="28" t="s">
        <v>14</v>
      </c>
      <c r="E88" s="23" t="s">
        <v>32</v>
      </c>
      <c r="F88" s="23" t="s">
        <v>43</v>
      </c>
      <c r="G88" s="28" t="s">
        <v>49</v>
      </c>
      <c r="H88" s="28" t="s">
        <v>49</v>
      </c>
      <c r="I88" s="28" t="s">
        <v>49</v>
      </c>
      <c r="J88" s="28" t="s">
        <v>49</v>
      </c>
      <c r="K88" s="28" t="s">
        <v>49</v>
      </c>
      <c r="L88" s="28" t="s">
        <v>49</v>
      </c>
      <c r="M88" s="28" t="s">
        <v>49</v>
      </c>
      <c r="N88" s="28" t="s">
        <v>49</v>
      </c>
      <c r="O88" s="28" t="s">
        <v>49</v>
      </c>
      <c r="P88" s="28" t="s">
        <v>49</v>
      </c>
      <c r="Q88" s="28" t="s">
        <v>49</v>
      </c>
      <c r="R88" s="28" t="s">
        <v>49</v>
      </c>
      <c r="S88" s="28" t="s">
        <v>49</v>
      </c>
      <c r="T88" s="28" t="s">
        <v>49</v>
      </c>
      <c r="U88" s="28" t="s">
        <v>50</v>
      </c>
      <c r="V88" s="17">
        <f>IF($B88="","",COUNTIF(G88:U88,"OK"))</f>
        <v>14.0</v>
      </c>
      <c r="W88" s="17">
        <f>IF($B88="","",COUNTIF(G88:U88,"NOK"))</f>
        <v>1.0</v>
      </c>
      <c r="X88" s="9">
        <f>IF($B88="","",IF(V88+W88=0,"",V88/(V88+W88)))</f>
        <v>0.9333333333333333</v>
      </c>
      <c r="Y88" s="17" t="str">
        <f>IF(X88="","",IF(X88&gt;=Setup!$C$7,"PASS","FAIL"))</f>
        <v>FAIL</v>
      </c>
      <c r="Z88" s="17" t="str">
        <f>IF($B88="","",IF(W88=0,"",IF(COUNTIF(Findings!$B$6:$B$305,$A88)&gt;=W88,"OK","LOG FINDING")))</f>
        <v>OK</v>
      </c>
    </row>
    <row r="89" spans="1:26">
      <c r="A89" s="17" t="str">
        <f>IF($B89="","","A-1084")</f>
        <v>A-1084</v>
      </c>
      <c r="B89" s="24">
        <v>46147</v>
      </c>
      <c r="C89" s="23" t="s">
        <v>23</v>
      </c>
      <c r="D89" s="28" t="s">
        <v>14</v>
      </c>
      <c r="E89" s="23" t="s">
        <v>33</v>
      </c>
      <c r="F89" s="23" t="s">
        <v>43</v>
      </c>
      <c r="G89" s="28" t="s">
        <v>49</v>
      </c>
      <c r="H89" s="28" t="s">
        <v>49</v>
      </c>
      <c r="I89" s="28" t="s">
        <v>49</v>
      </c>
      <c r="J89" s="28" t="s">
        <v>49</v>
      </c>
      <c r="K89" s="28" t="s">
        <v>49</v>
      </c>
      <c r="L89" s="28" t="s">
        <v>49</v>
      </c>
      <c r="M89" s="28" t="s">
        <v>49</v>
      </c>
      <c r="N89" s="28" t="s">
        <v>49</v>
      </c>
      <c r="O89" s="28" t="s">
        <v>49</v>
      </c>
      <c r="P89" s="28" t="s">
        <v>49</v>
      </c>
      <c r="Q89" s="28" t="s">
        <v>49</v>
      </c>
      <c r="R89" s="28" t="s">
        <v>49</v>
      </c>
      <c r="S89" s="28" t="s">
        <v>49</v>
      </c>
      <c r="T89" s="28" t="s">
        <v>49</v>
      </c>
      <c r="U89" s="28" t="s">
        <v>49</v>
      </c>
      <c r="V89" s="17">
        <f>IF($B89="","",COUNTIF(G89:U89,"OK"))</f>
        <v>15.0</v>
      </c>
      <c r="W89" s="17">
        <f>IF($B89="","",COUNTIF(G89:U89,"NOK"))</f>
        <v>0.0</v>
      </c>
      <c r="X89" s="9">
        <f>IF($B89="","",IF(V89+W89=0,"",V89/(V89+W89)))</f>
        <v>1.0</v>
      </c>
      <c r="Y89" s="17" t="str">
        <f>IF(X89="","",IF(X89&gt;=Setup!$C$7,"PASS","FAIL"))</f>
        <v>PASS</v>
      </c>
      <c r="Z89" s="17">
        <f>IF($B89="","",IF(W89=0,"",IF(COUNTIF(Findings!$B$6:$B$305,$A89)&gt;=W89,"OK","LOG FINDING")))</f>
        <v/>
      </c>
    </row>
    <row r="90" spans="1:26">
      <c r="A90" s="17" t="str">
        <f>IF($B90="","","A-1085")</f>
        <v>A-1085</v>
      </c>
      <c r="B90" s="24">
        <v>46147</v>
      </c>
      <c r="C90" s="23" t="s">
        <v>23</v>
      </c>
      <c r="D90" s="28" t="s">
        <v>16</v>
      </c>
      <c r="E90" s="23" t="s">
        <v>36</v>
      </c>
      <c r="F90" s="23" t="s">
        <v>43</v>
      </c>
      <c r="G90" s="28" t="s">
        <v>49</v>
      </c>
      <c r="H90" s="28" t="s">
        <v>49</v>
      </c>
      <c r="I90" s="28" t="s">
        <v>49</v>
      </c>
      <c r="J90" s="28" t="s">
        <v>49</v>
      </c>
      <c r="K90" s="28" t="s">
        <v>49</v>
      </c>
      <c r="L90" s="28" t="s">
        <v>49</v>
      </c>
      <c r="M90" s="28" t="s">
        <v>49</v>
      </c>
      <c r="N90" s="28" t="s">
        <v>49</v>
      </c>
      <c r="O90" s="28" t="s">
        <v>49</v>
      </c>
      <c r="P90" s="28" t="s">
        <v>49</v>
      </c>
      <c r="Q90" s="28" t="s">
        <v>49</v>
      </c>
      <c r="R90" s="28" t="s">
        <v>49</v>
      </c>
      <c r="S90" s="28" t="s">
        <v>49</v>
      </c>
      <c r="T90" s="28" t="s">
        <v>50</v>
      </c>
      <c r="U90" s="28" t="s">
        <v>49</v>
      </c>
      <c r="V90" s="17">
        <f>IF($B90="","",COUNTIF(G90:U90,"OK"))</f>
        <v>14.0</v>
      </c>
      <c r="W90" s="17">
        <f>IF($B90="","",COUNTIF(G90:U90,"NOK"))</f>
        <v>1.0</v>
      </c>
      <c r="X90" s="9">
        <f>IF($B90="","",IF(V90+W90=0,"",V90/(V90+W90)))</f>
        <v>0.9333333333333333</v>
      </c>
      <c r="Y90" s="17" t="str">
        <f>IF(X90="","",IF(X90&gt;=Setup!$C$7,"PASS","FAIL"))</f>
        <v>FAIL</v>
      </c>
      <c r="Z90" s="17" t="str">
        <f>IF($B90="","",IF(W90=0,"",IF(COUNTIF(Findings!$B$6:$B$305,$A90)&gt;=W90,"OK","LOG FINDING")))</f>
        <v>OK</v>
      </c>
    </row>
    <row r="91" spans="1:26">
      <c r="A91" s="17" t="str">
        <f>IF($B91="","","A-1086")</f>
        <v>A-1086</v>
      </c>
      <c r="B91" s="24">
        <v>46147</v>
      </c>
      <c r="C91" s="23" t="s">
        <v>23</v>
      </c>
      <c r="D91" s="28" t="s">
        <v>18</v>
      </c>
      <c r="E91" s="23" t="s">
        <v>37</v>
      </c>
      <c r="F91" s="23" t="s">
        <v>43</v>
      </c>
      <c r="G91" s="28" t="s">
        <v>49</v>
      </c>
      <c r="H91" s="28" t="s">
        <v>49</v>
      </c>
      <c r="I91" s="28" t="s">
        <v>49</v>
      </c>
      <c r="J91" s="28" t="s">
        <v>51</v>
      </c>
      <c r="K91" s="28" t="s">
        <v>49</v>
      </c>
      <c r="L91" s="28" t="s">
        <v>49</v>
      </c>
      <c r="M91" s="28" t="s">
        <v>49</v>
      </c>
      <c r="N91" s="28" t="s">
        <v>49</v>
      </c>
      <c r="O91" s="28" t="s">
        <v>49</v>
      </c>
      <c r="P91" s="28" t="s">
        <v>49</v>
      </c>
      <c r="Q91" s="28" t="s">
        <v>49</v>
      </c>
      <c r="R91" s="28" t="s">
        <v>49</v>
      </c>
      <c r="S91" s="28" t="s">
        <v>50</v>
      </c>
      <c r="T91" s="28" t="s">
        <v>49</v>
      </c>
      <c r="U91" s="28" t="s">
        <v>49</v>
      </c>
      <c r="V91" s="17">
        <f>IF($B91="","",COUNTIF(G91:U91,"OK"))</f>
        <v>13.0</v>
      </c>
      <c r="W91" s="17">
        <f>IF($B91="","",COUNTIF(G91:U91,"NOK"))</f>
        <v>1.0</v>
      </c>
      <c r="X91" s="9">
        <f>IF($B91="","",IF(V91+W91=0,"",V91/(V91+W91)))</f>
        <v>0.9285714285714286</v>
      </c>
      <c r="Y91" s="17" t="str">
        <f>IF(X91="","",IF(X91&gt;=Setup!$C$7,"PASS","FAIL"))</f>
        <v>FAIL</v>
      </c>
      <c r="Z91" s="17" t="str">
        <f>IF($B91="","",IF(W91=0,"",IF(COUNTIF(Findings!$B$6:$B$305,$A91)&gt;=W91,"OK","LOG FINDING")))</f>
        <v>OK</v>
      </c>
    </row>
    <row r="92" spans="1:26">
      <c r="A92" s="17" t="str">
        <f>IF($B92="","","A-1087")</f>
        <v>A-1087</v>
      </c>
      <c r="B92" s="24">
        <v>46148</v>
      </c>
      <c r="C92" s="23" t="s">
        <v>24</v>
      </c>
      <c r="D92" s="28" t="s">
        <v>14</v>
      </c>
      <c r="E92" s="23" t="s">
        <v>32</v>
      </c>
      <c r="F92" s="23" t="s">
        <v>43</v>
      </c>
      <c r="G92" s="28" t="s">
        <v>49</v>
      </c>
      <c r="H92" s="28" t="s">
        <v>49</v>
      </c>
      <c r="I92" s="28" t="s">
        <v>49</v>
      </c>
      <c r="J92" s="28" t="s">
        <v>49</v>
      </c>
      <c r="K92" s="28" t="s">
        <v>49</v>
      </c>
      <c r="L92" s="28" t="s">
        <v>49</v>
      </c>
      <c r="M92" s="28" t="s">
        <v>49</v>
      </c>
      <c r="N92" s="28" t="s">
        <v>49</v>
      </c>
      <c r="O92" s="28" t="s">
        <v>49</v>
      </c>
      <c r="P92" s="28" t="s">
        <v>49</v>
      </c>
      <c r="Q92" s="28" t="s">
        <v>49</v>
      </c>
      <c r="R92" s="28" t="s">
        <v>49</v>
      </c>
      <c r="S92" s="28" t="s">
        <v>49</v>
      </c>
      <c r="T92" s="28" t="s">
        <v>49</v>
      </c>
      <c r="U92" s="28" t="s">
        <v>49</v>
      </c>
      <c r="V92" s="17">
        <f>IF($B92="","",COUNTIF(G92:U92,"OK"))</f>
        <v>15.0</v>
      </c>
      <c r="W92" s="17">
        <f>IF($B92="","",COUNTIF(G92:U92,"NOK"))</f>
        <v>0.0</v>
      </c>
      <c r="X92" s="9">
        <f>IF($B92="","",IF(V92+W92=0,"",V92/(V92+W92)))</f>
        <v>1.0</v>
      </c>
      <c r="Y92" s="17" t="str">
        <f>IF(X92="","",IF(X92&gt;=Setup!$C$7,"PASS","FAIL"))</f>
        <v>PASS</v>
      </c>
      <c r="Z92" s="17">
        <f>IF($B92="","",IF(W92=0,"",IF(COUNTIF(Findings!$B$6:$B$305,$A92)&gt;=W92,"OK","LOG FINDING")))</f>
        <v/>
      </c>
    </row>
    <row r="93" spans="1:26">
      <c r="A93" s="17" t="str">
        <f>IF($B93="","","A-1088")</f>
        <v>A-1088</v>
      </c>
      <c r="B93" s="24">
        <v>46155</v>
      </c>
      <c r="C93" s="23" t="s">
        <v>24</v>
      </c>
      <c r="D93" s="28" t="s">
        <v>14</v>
      </c>
      <c r="E93" s="23" t="s">
        <v>32</v>
      </c>
      <c r="F93" s="23" t="s">
        <v>43</v>
      </c>
      <c r="G93" s="28" t="s">
        <v>49</v>
      </c>
      <c r="H93" s="28" t="s">
        <v>49</v>
      </c>
      <c r="I93" s="28" t="s">
        <v>49</v>
      </c>
      <c r="J93" s="28" t="s">
        <v>51</v>
      </c>
      <c r="K93" s="28" t="s">
        <v>50</v>
      </c>
      <c r="L93" s="28" t="s">
        <v>49</v>
      </c>
      <c r="M93" s="28" t="s">
        <v>49</v>
      </c>
      <c r="N93" s="28" t="s">
        <v>49</v>
      </c>
      <c r="O93" s="28" t="s">
        <v>49</v>
      </c>
      <c r="P93" s="28" t="s">
        <v>49</v>
      </c>
      <c r="Q93" s="28" t="s">
        <v>49</v>
      </c>
      <c r="R93" s="28" t="s">
        <v>49</v>
      </c>
      <c r="S93" s="28" t="s">
        <v>49</v>
      </c>
      <c r="T93" s="28" t="s">
        <v>49</v>
      </c>
      <c r="U93" s="28" t="s">
        <v>49</v>
      </c>
      <c r="V93" s="17">
        <f>IF($B93="","",COUNTIF(G93:U93,"OK"))</f>
        <v>13.0</v>
      </c>
      <c r="W93" s="17">
        <f>IF($B93="","",COUNTIF(G93:U93,"NOK"))</f>
        <v>1.0</v>
      </c>
      <c r="X93" s="9">
        <f>IF($B93="","",IF(V93+W93=0,"",V93/(V93+W93)))</f>
        <v>0.9285714285714286</v>
      </c>
      <c r="Y93" s="17" t="str">
        <f>IF(X93="","",IF(X93&gt;=Setup!$C$7,"PASS","FAIL"))</f>
        <v>FAIL</v>
      </c>
      <c r="Z93" s="17" t="str">
        <f>IF($B93="","",IF(W93=0,"",IF(COUNTIF(Findings!$B$6:$B$305,$A93)&gt;=W93,"OK","LOG FINDING")))</f>
        <v>OK</v>
      </c>
    </row>
    <row r="94" spans="1:26">
      <c r="A94" s="17" t="str">
        <f>IF($B94="","","A-1089")</f>
        <v>A-1089</v>
      </c>
      <c r="B94" s="24">
        <v>46155</v>
      </c>
      <c r="C94" s="23" t="s">
        <v>25</v>
      </c>
      <c r="D94" s="28" t="s">
        <v>14</v>
      </c>
      <c r="E94" s="23" t="s">
        <v>34</v>
      </c>
      <c r="F94" s="23" t="s">
        <v>43</v>
      </c>
      <c r="G94" s="28" t="s">
        <v>49</v>
      </c>
      <c r="H94" s="28" t="s">
        <v>49</v>
      </c>
      <c r="I94" s="28" t="s">
        <v>49</v>
      </c>
      <c r="J94" s="28" t="s">
        <v>49</v>
      </c>
      <c r="K94" s="28" t="s">
        <v>49</v>
      </c>
      <c r="L94" s="28" t="s">
        <v>49</v>
      </c>
      <c r="M94" s="28" t="s">
        <v>49</v>
      </c>
      <c r="N94" s="28" t="s">
        <v>50</v>
      </c>
      <c r="O94" s="28" t="s">
        <v>49</v>
      </c>
      <c r="P94" s="28" t="s">
        <v>49</v>
      </c>
      <c r="Q94" s="28" t="s">
        <v>49</v>
      </c>
      <c r="R94" s="28" t="s">
        <v>49</v>
      </c>
      <c r="S94" s="28" t="s">
        <v>49</v>
      </c>
      <c r="T94" s="28" t="s">
        <v>49</v>
      </c>
      <c r="U94" s="28" t="s">
        <v>49</v>
      </c>
      <c r="V94" s="17">
        <f>IF($B94="","",COUNTIF(G94:U94,"OK"))</f>
        <v>14.0</v>
      </c>
      <c r="W94" s="17">
        <f>IF($B94="","",COUNTIF(G94:U94,"NOK"))</f>
        <v>1.0</v>
      </c>
      <c r="X94" s="9">
        <f>IF($B94="","",IF(V94+W94=0,"",V94/(V94+W94)))</f>
        <v>0.9333333333333333</v>
      </c>
      <c r="Y94" s="17" t="str">
        <f>IF(X94="","",IF(X94&gt;=Setup!$C$7,"PASS","FAIL"))</f>
        <v>FAIL</v>
      </c>
      <c r="Z94" s="17" t="str">
        <f>IF($B94="","",IF(W94=0,"",IF(COUNTIF(Findings!$B$6:$B$305,$A94)&gt;=W94,"OK","LOG FINDING")))</f>
        <v>OK</v>
      </c>
    </row>
    <row r="95" spans="1:26">
      <c r="A95" s="17" t="str">
        <f>IF($B95="","","A-1090")</f>
        <v>A-1090</v>
      </c>
      <c r="B95" s="24">
        <v>46161</v>
      </c>
      <c r="C95" s="23" t="s">
        <v>24</v>
      </c>
      <c r="D95" s="28" t="s">
        <v>16</v>
      </c>
      <c r="E95" s="23" t="s">
        <v>35</v>
      </c>
      <c r="F95" s="23" t="s">
        <v>44</v>
      </c>
      <c r="G95" s="28" t="s">
        <v>49</v>
      </c>
      <c r="H95" s="28" t="s">
        <v>49</v>
      </c>
      <c r="I95" s="28" t="s">
        <v>49</v>
      </c>
      <c r="J95" s="28" t="s">
        <v>51</v>
      </c>
      <c r="K95" s="28" t="s">
        <v>49</v>
      </c>
      <c r="L95" s="28" t="s">
        <v>49</v>
      </c>
      <c r="M95" s="28" t="s">
        <v>49</v>
      </c>
      <c r="N95" s="28" t="s">
        <v>49</v>
      </c>
      <c r="O95" s="28" t="s">
        <v>49</v>
      </c>
      <c r="P95" s="28" t="s">
        <v>50</v>
      </c>
      <c r="Q95" s="28" t="s">
        <v>51</v>
      </c>
      <c r="R95" s="28" t="s">
        <v>49</v>
      </c>
      <c r="S95" s="28" t="s">
        <v>49</v>
      </c>
      <c r="T95" s="28" t="s">
        <v>49</v>
      </c>
      <c r="U95" s="28" t="s">
        <v>49</v>
      </c>
      <c r="V95" s="17">
        <f>IF($B95="","",COUNTIF(G95:U95,"OK"))</f>
        <v>12.0</v>
      </c>
      <c r="W95" s="17">
        <f>IF($B95="","",COUNTIF(G95:U95,"NOK"))</f>
        <v>1.0</v>
      </c>
      <c r="X95" s="9">
        <f>IF($B95="","",IF(V95+W95=0,"",V95/(V95+W95)))</f>
        <v>0.9230769230769231</v>
      </c>
      <c r="Y95" s="17" t="str">
        <f>IF(X95="","",IF(X95&gt;=Setup!$C$7,"PASS","FAIL"))</f>
        <v>FAIL</v>
      </c>
      <c r="Z95" s="17" t="str">
        <f>IF($B95="","",IF(W95=0,"",IF(COUNTIF(Findings!$B$6:$B$305,$A95)&gt;=W95,"OK","LOG FINDING")))</f>
        <v>OK</v>
      </c>
    </row>
    <row r="96" spans="1:26">
      <c r="A96" s="17" t="str">
        <f>IF($B96="","","A-1091")</f>
        <v>A-1091</v>
      </c>
      <c r="B96" s="24">
        <v>46161</v>
      </c>
      <c r="C96" s="23" t="s">
        <v>26</v>
      </c>
      <c r="D96" s="28" t="s">
        <v>16</v>
      </c>
      <c r="E96" s="23" t="s">
        <v>35</v>
      </c>
      <c r="F96" s="23" t="s">
        <v>43</v>
      </c>
      <c r="G96" s="28" t="s">
        <v>49</v>
      </c>
      <c r="H96" s="28" t="s">
        <v>49</v>
      </c>
      <c r="I96" s="28" t="s">
        <v>49</v>
      </c>
      <c r="J96" s="28" t="s">
        <v>49</v>
      </c>
      <c r="K96" s="28" t="s">
        <v>49</v>
      </c>
      <c r="L96" s="28" t="s">
        <v>49</v>
      </c>
      <c r="M96" s="28" t="s">
        <v>49</v>
      </c>
      <c r="N96" s="28" t="s">
        <v>49</v>
      </c>
      <c r="O96" s="28" t="s">
        <v>49</v>
      </c>
      <c r="P96" s="28" t="s">
        <v>49</v>
      </c>
      <c r="Q96" s="28" t="s">
        <v>51</v>
      </c>
      <c r="R96" s="28" t="s">
        <v>49</v>
      </c>
      <c r="S96" s="28" t="s">
        <v>49</v>
      </c>
      <c r="T96" s="28" t="s">
        <v>49</v>
      </c>
      <c r="U96" s="28" t="s">
        <v>49</v>
      </c>
      <c r="V96" s="17">
        <f>IF($B96="","",COUNTIF(G96:U96,"OK"))</f>
        <v>14.0</v>
      </c>
      <c r="W96" s="17">
        <f>IF($B96="","",COUNTIF(G96:U96,"NOK"))</f>
        <v>0.0</v>
      </c>
      <c r="X96" s="9">
        <f>IF($B96="","",IF(V96+W96=0,"",V96/(V96+W96)))</f>
        <v>1.0</v>
      </c>
      <c r="Y96" s="17" t="str">
        <f>IF(X96="","",IF(X96&gt;=Setup!$C$7,"PASS","FAIL"))</f>
        <v>PASS</v>
      </c>
      <c r="Z96" s="17">
        <f>IF($B96="","",IF(W96=0,"",IF(COUNTIF(Findings!$B$6:$B$305,$A96)&gt;=W96,"OK","LOG FINDING")))</f>
        <v/>
      </c>
    </row>
    <row r="97" spans="1:26">
      <c r="A97" s="17" t="str">
        <f>IF($B97="","","A-1092")</f>
        <v>A-1092</v>
      </c>
      <c r="B97" s="24">
        <v>46163</v>
      </c>
      <c r="C97" s="23" t="s">
        <v>27</v>
      </c>
      <c r="D97" s="28" t="s">
        <v>14</v>
      </c>
      <c r="E97" s="23" t="s">
        <v>32</v>
      </c>
      <c r="F97" s="23" t="s">
        <v>43</v>
      </c>
      <c r="G97" s="28" t="s">
        <v>49</v>
      </c>
      <c r="H97" s="28" t="s">
        <v>49</v>
      </c>
      <c r="I97" s="28" t="s">
        <v>49</v>
      </c>
      <c r="J97" s="28" t="s">
        <v>49</v>
      </c>
      <c r="K97" s="28" t="s">
        <v>49</v>
      </c>
      <c r="L97" s="28" t="s">
        <v>50</v>
      </c>
      <c r="M97" s="28" t="s">
        <v>49</v>
      </c>
      <c r="N97" s="28" t="s">
        <v>49</v>
      </c>
      <c r="O97" s="28" t="s">
        <v>49</v>
      </c>
      <c r="P97" s="28" t="s">
        <v>49</v>
      </c>
      <c r="Q97" s="28" t="s">
        <v>49</v>
      </c>
      <c r="R97" s="28" t="s">
        <v>49</v>
      </c>
      <c r="S97" s="28" t="s">
        <v>49</v>
      </c>
      <c r="T97" s="28" t="s">
        <v>49</v>
      </c>
      <c r="U97" s="28" t="s">
        <v>49</v>
      </c>
      <c r="V97" s="17">
        <f>IF($B97="","",COUNTIF(G97:U97,"OK"))</f>
        <v>14.0</v>
      </c>
      <c r="W97" s="17">
        <f>IF($B97="","",COUNTIF(G97:U97,"NOK"))</f>
        <v>1.0</v>
      </c>
      <c r="X97" s="9">
        <f>IF($B97="","",IF(V97+W97=0,"",V97/(V97+W97)))</f>
        <v>0.9333333333333333</v>
      </c>
      <c r="Y97" s="17" t="str">
        <f>IF(X97="","",IF(X97&gt;=Setup!$C$7,"PASS","FAIL"))</f>
        <v>FAIL</v>
      </c>
      <c r="Z97" s="17" t="str">
        <f>IF($B97="","",IF(W97=0,"",IF(COUNTIF(Findings!$B$6:$B$305,$A97)&gt;=W97,"OK","LOG FINDING")))</f>
        <v>OK</v>
      </c>
    </row>
    <row r="98" spans="1:26">
      <c r="A98" s="17" t="str">
        <f>IF($B98="","","A-1093")</f>
        <v>A-1093</v>
      </c>
      <c r="B98" s="24">
        <v>46164</v>
      </c>
      <c r="C98" s="23" t="s">
        <v>27</v>
      </c>
      <c r="D98" s="28" t="s">
        <v>14</v>
      </c>
      <c r="E98" s="23" t="s">
        <v>32</v>
      </c>
      <c r="F98" s="23" t="s">
        <v>44</v>
      </c>
      <c r="G98" s="28" t="s">
        <v>49</v>
      </c>
      <c r="H98" s="28" t="s">
        <v>49</v>
      </c>
      <c r="I98" s="28" t="s">
        <v>49</v>
      </c>
      <c r="J98" s="28" t="s">
        <v>49</v>
      </c>
      <c r="K98" s="28" t="s">
        <v>49</v>
      </c>
      <c r="L98" s="28" t="s">
        <v>49</v>
      </c>
      <c r="M98" s="28" t="s">
        <v>49</v>
      </c>
      <c r="N98" s="28" t="s">
        <v>50</v>
      </c>
      <c r="O98" s="28" t="s">
        <v>49</v>
      </c>
      <c r="P98" s="28" t="s">
        <v>49</v>
      </c>
      <c r="Q98" s="28" t="s">
        <v>49</v>
      </c>
      <c r="R98" s="28" t="s">
        <v>50</v>
      </c>
      <c r="S98" s="28" t="s">
        <v>49</v>
      </c>
      <c r="T98" s="28" t="s">
        <v>49</v>
      </c>
      <c r="U98" s="28" t="s">
        <v>49</v>
      </c>
      <c r="V98" s="17">
        <f>IF($B98="","",COUNTIF(G98:U98,"OK"))</f>
        <v>13.0</v>
      </c>
      <c r="W98" s="17">
        <f>IF($B98="","",COUNTIF(G98:U98,"NOK"))</f>
        <v>2.0</v>
      </c>
      <c r="X98" s="9">
        <f>IF($B98="","",IF(V98+W98=0,"",V98/(V98+W98)))</f>
        <v>0.8666666666666667</v>
      </c>
      <c r="Y98" s="17" t="str">
        <f>IF(X98="","",IF(X98&gt;=Setup!$C$7,"PASS","FAIL"))</f>
        <v>FAIL</v>
      </c>
      <c r="Z98" s="17" t="str">
        <f>IF($B98="","",IF(W98=0,"",IF(COUNTIF(Findings!$B$6:$B$305,$A98)&gt;=W98,"OK","LOG FINDING")))</f>
        <v>OK</v>
      </c>
    </row>
    <row r="99" spans="1:26">
      <c r="A99" s="17" t="str">
        <f>IF($B99="","","A-1094")</f>
        <v>A-1094</v>
      </c>
      <c r="B99" s="24">
        <v>46167</v>
      </c>
      <c r="C99" s="23" t="s">
        <v>26</v>
      </c>
      <c r="D99" s="28" t="s">
        <v>14</v>
      </c>
      <c r="E99" s="23" t="s">
        <v>32</v>
      </c>
      <c r="F99" s="23" t="s">
        <v>44</v>
      </c>
      <c r="G99" s="28" t="s">
        <v>49</v>
      </c>
      <c r="H99" s="28" t="s">
        <v>49</v>
      </c>
      <c r="I99" s="28" t="s">
        <v>49</v>
      </c>
      <c r="J99" s="28" t="s">
        <v>49</v>
      </c>
      <c r="K99" s="28" t="s">
        <v>49</v>
      </c>
      <c r="L99" s="28" t="s">
        <v>49</v>
      </c>
      <c r="M99" s="28" t="s">
        <v>49</v>
      </c>
      <c r="N99" s="28" t="s">
        <v>49</v>
      </c>
      <c r="O99" s="28" t="s">
        <v>49</v>
      </c>
      <c r="P99" s="28" t="s">
        <v>49</v>
      </c>
      <c r="Q99" s="28" t="s">
        <v>49</v>
      </c>
      <c r="R99" s="28" t="s">
        <v>49</v>
      </c>
      <c r="S99" s="28" t="s">
        <v>49</v>
      </c>
      <c r="T99" s="28" t="s">
        <v>49</v>
      </c>
      <c r="U99" s="28" t="s">
        <v>50</v>
      </c>
      <c r="V99" s="17">
        <f>IF($B99="","",COUNTIF(G99:U99,"OK"))</f>
        <v>14.0</v>
      </c>
      <c r="W99" s="17">
        <f>IF($B99="","",COUNTIF(G99:U99,"NOK"))</f>
        <v>1.0</v>
      </c>
      <c r="X99" s="9">
        <f>IF($B99="","",IF(V99+W99=0,"",V99/(V99+W99)))</f>
        <v>0.9333333333333333</v>
      </c>
      <c r="Y99" s="17" t="str">
        <f>IF(X99="","",IF(X99&gt;=Setup!$C$7,"PASS","FAIL"))</f>
        <v>FAIL</v>
      </c>
      <c r="Z99" s="17" t="str">
        <f>IF($B99="","",IF(W99=0,"",IF(COUNTIF(Findings!$B$6:$B$305,$A99)&gt;=W99,"OK","LOG FINDING")))</f>
        <v>OK</v>
      </c>
    </row>
    <row r="100" spans="1:26">
      <c r="A100" s="17" t="str">
        <f>IF($B100="","","A-1095")</f>
        <v>A-1095</v>
      </c>
      <c r="B100" s="24">
        <v>46168</v>
      </c>
      <c r="C100" s="23" t="s">
        <v>25</v>
      </c>
      <c r="D100" s="28" t="s">
        <v>14</v>
      </c>
      <c r="E100" s="23" t="s">
        <v>32</v>
      </c>
      <c r="F100" s="23" t="s">
        <v>43</v>
      </c>
      <c r="G100" s="28" t="s">
        <v>49</v>
      </c>
      <c r="H100" s="28" t="s">
        <v>49</v>
      </c>
      <c r="I100" s="28" t="s">
        <v>49</v>
      </c>
      <c r="J100" s="28" t="s">
        <v>49</v>
      </c>
      <c r="K100" s="28" t="s">
        <v>49</v>
      </c>
      <c r="L100" s="28" t="s">
        <v>49</v>
      </c>
      <c r="M100" s="28" t="s">
        <v>49</v>
      </c>
      <c r="N100" s="28" t="s">
        <v>50</v>
      </c>
      <c r="O100" s="28" t="s">
        <v>49</v>
      </c>
      <c r="P100" s="28" t="s">
        <v>49</v>
      </c>
      <c r="Q100" s="28" t="s">
        <v>51</v>
      </c>
      <c r="R100" s="28" t="s">
        <v>49</v>
      </c>
      <c r="S100" s="28" t="s">
        <v>49</v>
      </c>
      <c r="T100" s="28" t="s">
        <v>49</v>
      </c>
      <c r="U100" s="28" t="s">
        <v>49</v>
      </c>
      <c r="V100" s="17">
        <f>IF($B100="","",COUNTIF(G100:U100,"OK"))</f>
        <v>13.0</v>
      </c>
      <c r="W100" s="17">
        <f>IF($B100="","",COUNTIF(G100:U100,"NOK"))</f>
        <v>1.0</v>
      </c>
      <c r="X100" s="9">
        <f>IF($B100="","",IF(V100+W100=0,"",V100/(V100+W100)))</f>
        <v>0.9285714285714286</v>
      </c>
      <c r="Y100" s="17" t="str">
        <f>IF(X100="","",IF(X100&gt;=Setup!$C$7,"PASS","FAIL"))</f>
        <v>FAIL</v>
      </c>
      <c r="Z100" s="17" t="str">
        <f>IF($B100="","",IF(W100=0,"",IF(COUNTIF(Findings!$B$6:$B$305,$A100)&gt;=W100,"OK","LOG FINDING")))</f>
        <v>OK</v>
      </c>
    </row>
    <row r="101" spans="1:26">
      <c r="A101" s="17" t="str">
        <f>IF($B101="","","A-1096")</f>
        <v>A-1096</v>
      </c>
      <c r="B101" s="24">
        <v>46169</v>
      </c>
      <c r="C101" s="23" t="s">
        <v>22</v>
      </c>
      <c r="D101" s="28" t="s">
        <v>14</v>
      </c>
      <c r="E101" s="23" t="s">
        <v>34</v>
      </c>
      <c r="F101" s="23" t="s">
        <v>43</v>
      </c>
      <c r="G101" s="28" t="s">
        <v>49</v>
      </c>
      <c r="H101" s="28" t="s">
        <v>49</v>
      </c>
      <c r="I101" s="28" t="s">
        <v>49</v>
      </c>
      <c r="J101" s="28" t="s">
        <v>49</v>
      </c>
      <c r="K101" s="28" t="s">
        <v>49</v>
      </c>
      <c r="L101" s="28" t="s">
        <v>49</v>
      </c>
      <c r="M101" s="28" t="s">
        <v>49</v>
      </c>
      <c r="N101" s="28" t="s">
        <v>49</v>
      </c>
      <c r="O101" s="28" t="s">
        <v>49</v>
      </c>
      <c r="P101" s="28" t="s">
        <v>49</v>
      </c>
      <c r="Q101" s="28" t="s">
        <v>49</v>
      </c>
      <c r="R101" s="28" t="s">
        <v>49</v>
      </c>
      <c r="S101" s="28" t="s">
        <v>49</v>
      </c>
      <c r="T101" s="28" t="s">
        <v>49</v>
      </c>
      <c r="U101" s="28" t="s">
        <v>49</v>
      </c>
      <c r="V101" s="17">
        <f>IF($B101="","",COUNTIF(G101:U101,"OK"))</f>
        <v>15.0</v>
      </c>
      <c r="W101" s="17">
        <f>IF($B101="","",COUNTIF(G101:U101,"NOK"))</f>
        <v>0.0</v>
      </c>
      <c r="X101" s="9">
        <f>IF($B101="","",IF(V101+W101=0,"",V101/(V101+W101)))</f>
        <v>1.0</v>
      </c>
      <c r="Y101" s="17" t="str">
        <f>IF(X101="","",IF(X101&gt;=Setup!$C$7,"PASS","FAIL"))</f>
        <v>PASS</v>
      </c>
      <c r="Z101" s="17">
        <f>IF($B101="","",IF(W101=0,"",IF(COUNTIF(Findings!$B$6:$B$305,$A101)&gt;=W101,"OK","LOG FINDING")))</f>
        <v/>
      </c>
    </row>
    <row r="102" spans="1:26">
      <c r="A102" s="17" t="str">
        <f>IF($B102="","","A-1097")</f>
        <v>A-1097</v>
      </c>
      <c r="B102" s="24">
        <v>46170</v>
      </c>
      <c r="C102" s="23" t="s">
        <v>27</v>
      </c>
      <c r="D102" s="28" t="s">
        <v>18</v>
      </c>
      <c r="E102" s="23" t="s">
        <v>37</v>
      </c>
      <c r="F102" s="23" t="s">
        <v>44</v>
      </c>
      <c r="G102" s="28" t="s">
        <v>49</v>
      </c>
      <c r="H102" s="28" t="s">
        <v>49</v>
      </c>
      <c r="I102" s="28" t="s">
        <v>50</v>
      </c>
      <c r="J102" s="28" t="s">
        <v>51</v>
      </c>
      <c r="K102" s="28" t="s">
        <v>49</v>
      </c>
      <c r="L102" s="28" t="s">
        <v>49</v>
      </c>
      <c r="M102" s="28" t="s">
        <v>49</v>
      </c>
      <c r="N102" s="28" t="s">
        <v>49</v>
      </c>
      <c r="O102" s="28" t="s">
        <v>49</v>
      </c>
      <c r="P102" s="28" t="s">
        <v>49</v>
      </c>
      <c r="Q102" s="28" t="s">
        <v>49</v>
      </c>
      <c r="R102" s="28" t="s">
        <v>49</v>
      </c>
      <c r="S102" s="28" t="s">
        <v>49</v>
      </c>
      <c r="T102" s="28" t="s">
        <v>49</v>
      </c>
      <c r="U102" s="28" t="s">
        <v>49</v>
      </c>
      <c r="V102" s="17">
        <f>IF($B102="","",COUNTIF(G102:U102,"OK"))</f>
        <v>13.0</v>
      </c>
      <c r="W102" s="17">
        <f>IF($B102="","",COUNTIF(G102:U102,"NOK"))</f>
        <v>1.0</v>
      </c>
      <c r="X102" s="9">
        <f>IF($B102="","",IF(V102+W102=0,"",V102/(V102+W102)))</f>
        <v>0.9285714285714286</v>
      </c>
      <c r="Y102" s="17" t="str">
        <f>IF(X102="","",IF(X102&gt;=Setup!$C$7,"PASS","FAIL"))</f>
        <v>FAIL</v>
      </c>
      <c r="Z102" s="17" t="str">
        <f>IF($B102="","",IF(W102=0,"",IF(COUNTIF(Findings!$B$6:$B$305,$A102)&gt;=W102,"OK","LOG FINDING")))</f>
        <v>OK</v>
      </c>
    </row>
    <row r="103" spans="1:26">
      <c r="A103" s="17" t="str">
        <f>IF($B103="","","A-1098")</f>
        <v>A-1098</v>
      </c>
      <c r="B103" s="24">
        <v>46171</v>
      </c>
      <c r="C103" s="23" t="s">
        <v>23</v>
      </c>
      <c r="D103" s="28" t="s">
        <v>14</v>
      </c>
      <c r="E103" s="23" t="s">
        <v>33</v>
      </c>
      <c r="F103" s="23" t="s">
        <v>43</v>
      </c>
      <c r="G103" s="28" t="s">
        <v>50</v>
      </c>
      <c r="H103" s="28" t="s">
        <v>49</v>
      </c>
      <c r="I103" s="28" t="s">
        <v>49</v>
      </c>
      <c r="J103" s="28" t="s">
        <v>49</v>
      </c>
      <c r="K103" s="28" t="s">
        <v>49</v>
      </c>
      <c r="L103" s="28" t="s">
        <v>50</v>
      </c>
      <c r="M103" s="28" t="s">
        <v>49</v>
      </c>
      <c r="N103" s="28" t="s">
        <v>49</v>
      </c>
      <c r="O103" s="28" t="s">
        <v>49</v>
      </c>
      <c r="P103" s="28" t="s">
        <v>49</v>
      </c>
      <c r="Q103" s="28" t="s">
        <v>49</v>
      </c>
      <c r="R103" s="28" t="s">
        <v>49</v>
      </c>
      <c r="S103" s="28" t="s">
        <v>49</v>
      </c>
      <c r="T103" s="28" t="s">
        <v>49</v>
      </c>
      <c r="U103" s="28" t="s">
        <v>49</v>
      </c>
      <c r="V103" s="17">
        <f>IF($B103="","",COUNTIF(G103:U103,"OK"))</f>
        <v>13.0</v>
      </c>
      <c r="W103" s="17">
        <f>IF($B103="","",COUNTIF(G103:U103,"NOK"))</f>
        <v>2.0</v>
      </c>
      <c r="X103" s="9">
        <f>IF($B103="","",IF(V103+W103=0,"",V103/(V103+W103)))</f>
        <v>0.8666666666666667</v>
      </c>
      <c r="Y103" s="17" t="str">
        <f>IF(X103="","",IF(X103&gt;=Setup!$C$7,"PASS","FAIL"))</f>
        <v>FAIL</v>
      </c>
      <c r="Z103" s="17" t="str">
        <f>IF($B103="","",IF(W103=0,"",IF(COUNTIF(Findings!$B$6:$B$305,$A103)&gt;=W103,"OK","LOG FINDING")))</f>
        <v>OK</v>
      </c>
    </row>
    <row r="104" spans="1:26">
      <c r="A104" s="17" t="str">
        <f>IF($B104="","","A-1099")</f>
        <v>A-1099</v>
      </c>
      <c r="B104" s="24">
        <v>46174</v>
      </c>
      <c r="C104" s="23" t="s">
        <v>24</v>
      </c>
      <c r="D104" s="28" t="s">
        <v>16</v>
      </c>
      <c r="E104" s="23" t="s">
        <v>36</v>
      </c>
      <c r="F104" s="23" t="s">
        <v>44</v>
      </c>
      <c r="G104" s="28" t="s">
        <v>49</v>
      </c>
      <c r="H104" s="28" t="s">
        <v>49</v>
      </c>
      <c r="I104" s="28" t="s">
        <v>49</v>
      </c>
      <c r="J104" s="28" t="s">
        <v>49</v>
      </c>
      <c r="K104" s="28" t="s">
        <v>49</v>
      </c>
      <c r="L104" s="28" t="s">
        <v>49</v>
      </c>
      <c r="M104" s="28" t="s">
        <v>49</v>
      </c>
      <c r="N104" s="28" t="s">
        <v>49</v>
      </c>
      <c r="O104" s="28" t="s">
        <v>49</v>
      </c>
      <c r="P104" s="28" t="s">
        <v>49</v>
      </c>
      <c r="Q104" s="28" t="s">
        <v>49</v>
      </c>
      <c r="R104" s="28" t="s">
        <v>49</v>
      </c>
      <c r="S104" s="28" t="s">
        <v>49</v>
      </c>
      <c r="T104" s="28" t="s">
        <v>49</v>
      </c>
      <c r="U104" s="28" t="s">
        <v>49</v>
      </c>
      <c r="V104" s="17">
        <f>IF($B104="","",COUNTIF(G104:U104,"OK"))</f>
        <v>15.0</v>
      </c>
      <c r="W104" s="17">
        <f>IF($B104="","",COUNTIF(G104:U104,"NOK"))</f>
        <v>0.0</v>
      </c>
      <c r="X104" s="9">
        <f>IF($B104="","",IF(V104+W104=0,"",V104/(V104+W104)))</f>
        <v>1.0</v>
      </c>
      <c r="Y104" s="17" t="str">
        <f>IF(X104="","",IF(X104&gt;=Setup!$C$7,"PASS","FAIL"))</f>
        <v>PASS</v>
      </c>
      <c r="Z104" s="17">
        <f>IF($B104="","",IF(W104=0,"",IF(COUNTIF(Findings!$B$6:$B$305,$A104)&gt;=W104,"OK","LOG FINDING")))</f>
        <v/>
      </c>
    </row>
    <row r="105" spans="1:26">
      <c r="A105" s="17" t="str">
        <f>IF($B105="","","A-1100")</f>
        <v>A-1100</v>
      </c>
      <c r="B105" s="24">
        <v>46177</v>
      </c>
      <c r="C105" s="23" t="s">
        <v>27</v>
      </c>
      <c r="D105" s="28" t="s">
        <v>14</v>
      </c>
      <c r="E105" s="23" t="s">
        <v>34</v>
      </c>
      <c r="F105" s="23" t="s">
        <v>43</v>
      </c>
      <c r="G105" s="28" t="s">
        <v>49</v>
      </c>
      <c r="H105" s="28" t="s">
        <v>49</v>
      </c>
      <c r="I105" s="28" t="s">
        <v>49</v>
      </c>
      <c r="J105" s="28" t="s">
        <v>49</v>
      </c>
      <c r="K105" s="28" t="s">
        <v>49</v>
      </c>
      <c r="L105" s="28" t="s">
        <v>49</v>
      </c>
      <c r="M105" s="28" t="s">
        <v>49</v>
      </c>
      <c r="N105" s="28" t="s">
        <v>49</v>
      </c>
      <c r="O105" s="28" t="s">
        <v>49</v>
      </c>
      <c r="P105" s="28" t="s">
        <v>49</v>
      </c>
      <c r="Q105" s="28" t="s">
        <v>49</v>
      </c>
      <c r="R105" s="28" t="s">
        <v>49</v>
      </c>
      <c r="S105" s="28" t="s">
        <v>49</v>
      </c>
      <c r="T105" s="28" t="s">
        <v>49</v>
      </c>
      <c r="U105" s="28" t="s">
        <v>49</v>
      </c>
      <c r="V105" s="17">
        <f>IF($B105="","",COUNTIF(G105:U105,"OK"))</f>
        <v>15.0</v>
      </c>
      <c r="W105" s="17">
        <f>IF($B105="","",COUNTIF(G105:U105,"NOK"))</f>
        <v>0.0</v>
      </c>
      <c r="X105" s="9">
        <f>IF($B105="","",IF(V105+W105=0,"",V105/(V105+W105)))</f>
        <v>1.0</v>
      </c>
      <c r="Y105" s="17" t="str">
        <f>IF(X105="","",IF(X105&gt;=Setup!$C$7,"PASS","FAIL"))</f>
        <v>PASS</v>
      </c>
      <c r="Z105" s="17">
        <f>IF($B105="","",IF(W105=0,"",IF(COUNTIF(Findings!$B$6:$B$305,$A105)&gt;=W105,"OK","LOG FINDING")))</f>
        <v/>
      </c>
    </row>
    <row r="106" spans="1:26">
      <c r="A106" s="17" t="str">
        <f>IF($B106="","","A-1101")</f>
        <v>A-1101</v>
      </c>
      <c r="B106" s="24">
        <v>46177</v>
      </c>
      <c r="C106" s="23" t="s">
        <v>27</v>
      </c>
      <c r="D106" s="28" t="s">
        <v>16</v>
      </c>
      <c r="E106" s="23" t="s">
        <v>36</v>
      </c>
      <c r="F106" s="23" t="s">
        <v>44</v>
      </c>
      <c r="G106" s="28" t="s">
        <v>49</v>
      </c>
      <c r="H106" s="28" t="s">
        <v>49</v>
      </c>
      <c r="I106" s="28" t="s">
        <v>49</v>
      </c>
      <c r="J106" s="28" t="s">
        <v>49</v>
      </c>
      <c r="K106" s="28" t="s">
        <v>49</v>
      </c>
      <c r="L106" s="28" t="s">
        <v>49</v>
      </c>
      <c r="M106" s="28" t="s">
        <v>49</v>
      </c>
      <c r="N106" s="28" t="s">
        <v>49</v>
      </c>
      <c r="O106" s="28" t="s">
        <v>49</v>
      </c>
      <c r="P106" s="28" t="s">
        <v>49</v>
      </c>
      <c r="Q106" s="28" t="s">
        <v>49</v>
      </c>
      <c r="R106" s="28" t="s">
        <v>49</v>
      </c>
      <c r="S106" s="28" t="s">
        <v>49</v>
      </c>
      <c r="T106" s="28" t="s">
        <v>49</v>
      </c>
      <c r="U106" s="28" t="s">
        <v>49</v>
      </c>
      <c r="V106" s="17">
        <f>IF($B106="","",COUNTIF(G106:U106,"OK"))</f>
        <v>15.0</v>
      </c>
      <c r="W106" s="17">
        <f>IF($B106="","",COUNTIF(G106:U106,"NOK"))</f>
        <v>0.0</v>
      </c>
      <c r="X106" s="9">
        <f>IF($B106="","",IF(V106+W106=0,"",V106/(V106+W106)))</f>
        <v>1.0</v>
      </c>
      <c r="Y106" s="17" t="str">
        <f>IF(X106="","",IF(X106&gt;=Setup!$C$7,"PASS","FAIL"))</f>
        <v>PASS</v>
      </c>
      <c r="Z106" s="17">
        <f>IF($B106="","",IF(W106=0,"",IF(COUNTIF(Findings!$B$6:$B$305,$A106)&gt;=W106,"OK","LOG FINDING")))</f>
        <v/>
      </c>
    </row>
    <row r="107" spans="1:26">
      <c r="A107" s="17" t="str">
        <f>IF($B107="","","A-1102")</f>
        <v>A-1102</v>
      </c>
      <c r="B107" s="24">
        <v>46178</v>
      </c>
      <c r="C107" s="23" t="s">
        <v>24</v>
      </c>
      <c r="D107" s="28" t="s">
        <v>14</v>
      </c>
      <c r="E107" s="23" t="s">
        <v>32</v>
      </c>
      <c r="F107" s="23" t="s">
        <v>44</v>
      </c>
      <c r="G107" s="28" t="s">
        <v>50</v>
      </c>
      <c r="H107" s="28" t="s">
        <v>49</v>
      </c>
      <c r="I107" s="28" t="s">
        <v>49</v>
      </c>
      <c r="J107" s="28" t="s">
        <v>50</v>
      </c>
      <c r="K107" s="28" t="s">
        <v>49</v>
      </c>
      <c r="L107" s="28" t="s">
        <v>49</v>
      </c>
      <c r="M107" s="28" t="s">
        <v>49</v>
      </c>
      <c r="N107" s="28" t="s">
        <v>49</v>
      </c>
      <c r="O107" s="28" t="s">
        <v>49</v>
      </c>
      <c r="P107" s="28" t="s">
        <v>50</v>
      </c>
      <c r="Q107" s="28" t="s">
        <v>49</v>
      </c>
      <c r="R107" s="28" t="s">
        <v>49</v>
      </c>
      <c r="S107" s="28" t="s">
        <v>49</v>
      </c>
      <c r="T107" s="28" t="s">
        <v>49</v>
      </c>
      <c r="U107" s="28" t="s">
        <v>49</v>
      </c>
      <c r="V107" s="17">
        <f>IF($B107="","",COUNTIF(G107:U107,"OK"))</f>
        <v>12.0</v>
      </c>
      <c r="W107" s="17">
        <f>IF($B107="","",COUNTIF(G107:U107,"NOK"))</f>
        <v>3.0</v>
      </c>
      <c r="X107" s="9">
        <f>IF($B107="","",IF(V107+W107=0,"",V107/(V107+W107)))</f>
        <v>0.8</v>
      </c>
      <c r="Y107" s="17" t="str">
        <f>IF(X107="","",IF(X107&gt;=Setup!$C$7,"PASS","FAIL"))</f>
        <v>FAIL</v>
      </c>
      <c r="Z107" s="17" t="str">
        <f>IF($B107="","",IF(W107=0,"",IF(COUNTIF(Findings!$B$6:$B$305,$A107)&gt;=W107,"OK","LOG FINDING")))</f>
        <v>OK</v>
      </c>
    </row>
    <row r="108" spans="1:26">
      <c r="A108" s="17" t="str">
        <f>IF($B108="","","A-1103")</f>
        <v>A-1103</v>
      </c>
      <c r="B108" s="24">
        <v>46181</v>
      </c>
      <c r="C108" s="23" t="s">
        <v>26</v>
      </c>
      <c r="D108" s="28" t="s">
        <v>14</v>
      </c>
      <c r="E108" s="23" t="s">
        <v>32</v>
      </c>
      <c r="F108" s="23" t="s">
        <v>43</v>
      </c>
      <c r="G108" s="28" t="s">
        <v>49</v>
      </c>
      <c r="H108" s="28" t="s">
        <v>49</v>
      </c>
      <c r="I108" s="28" t="s">
        <v>49</v>
      </c>
      <c r="J108" s="28" t="s">
        <v>49</v>
      </c>
      <c r="K108" s="28" t="s">
        <v>49</v>
      </c>
      <c r="L108" s="28" t="s">
        <v>49</v>
      </c>
      <c r="M108" s="28" t="s">
        <v>49</v>
      </c>
      <c r="N108" s="28" t="s">
        <v>49</v>
      </c>
      <c r="O108" s="28" t="s">
        <v>50</v>
      </c>
      <c r="P108" s="28" t="s">
        <v>49</v>
      </c>
      <c r="Q108" s="28" t="s">
        <v>51</v>
      </c>
      <c r="R108" s="28" t="s">
        <v>49</v>
      </c>
      <c r="S108" s="28" t="s">
        <v>49</v>
      </c>
      <c r="T108" s="28" t="s">
        <v>49</v>
      </c>
      <c r="U108" s="28" t="s">
        <v>49</v>
      </c>
      <c r="V108" s="17">
        <f>IF($B108="","",COUNTIF(G108:U108,"OK"))</f>
        <v>13.0</v>
      </c>
      <c r="W108" s="17">
        <f>IF($B108="","",COUNTIF(G108:U108,"NOK"))</f>
        <v>1.0</v>
      </c>
      <c r="X108" s="9">
        <f>IF($B108="","",IF(V108+W108=0,"",V108/(V108+W108)))</f>
        <v>0.9285714285714286</v>
      </c>
      <c r="Y108" s="17" t="str">
        <f>IF(X108="","",IF(X108&gt;=Setup!$C$7,"PASS","FAIL"))</f>
        <v>FAIL</v>
      </c>
      <c r="Z108" s="17" t="str">
        <f>IF($B108="","",IF(W108=0,"",IF(COUNTIF(Findings!$B$6:$B$305,$A108)&gt;=W108,"OK","LOG FINDING")))</f>
        <v>OK</v>
      </c>
    </row>
    <row r="109" spans="1:26">
      <c r="A109" s="17" t="str">
        <f>IF($B109="","","A-1104")</f>
        <v>A-1104</v>
      </c>
      <c r="B109" s="24">
        <v>46181</v>
      </c>
      <c r="C109" s="23" t="s">
        <v>26</v>
      </c>
      <c r="D109" s="28" t="s">
        <v>18</v>
      </c>
      <c r="E109" s="23" t="s">
        <v>38</v>
      </c>
      <c r="F109" s="23" t="s">
        <v>43</v>
      </c>
      <c r="G109" s="28" t="s">
        <v>49</v>
      </c>
      <c r="H109" s="28" t="s">
        <v>49</v>
      </c>
      <c r="I109" s="28" t="s">
        <v>49</v>
      </c>
      <c r="J109" s="28" t="s">
        <v>49</v>
      </c>
      <c r="K109" s="28" t="s">
        <v>49</v>
      </c>
      <c r="L109" s="28" t="s">
        <v>49</v>
      </c>
      <c r="M109" s="28" t="s">
        <v>49</v>
      </c>
      <c r="N109" s="28" t="s">
        <v>49</v>
      </c>
      <c r="O109" s="28" t="s">
        <v>49</v>
      </c>
      <c r="P109" s="28" t="s">
        <v>49</v>
      </c>
      <c r="Q109" s="28" t="s">
        <v>51</v>
      </c>
      <c r="R109" s="28" t="s">
        <v>49</v>
      </c>
      <c r="S109" s="28" t="s">
        <v>49</v>
      </c>
      <c r="T109" s="28" t="s">
        <v>49</v>
      </c>
      <c r="U109" s="28" t="s">
        <v>49</v>
      </c>
      <c r="V109" s="17">
        <f>IF($B109="","",COUNTIF(G109:U109,"OK"))</f>
        <v>14.0</v>
      </c>
      <c r="W109" s="17">
        <f>IF($B109="","",COUNTIF(G109:U109,"NOK"))</f>
        <v>0.0</v>
      </c>
      <c r="X109" s="9">
        <f>IF($B109="","",IF(V109+W109=0,"",V109/(V109+W109)))</f>
        <v>1.0</v>
      </c>
      <c r="Y109" s="17" t="str">
        <f>IF(X109="","",IF(X109&gt;=Setup!$C$7,"PASS","FAIL"))</f>
        <v>PASS</v>
      </c>
      <c r="Z109" s="17">
        <f>IF($B109="","",IF(W109=0,"",IF(COUNTIF(Findings!$B$6:$B$305,$A109)&gt;=W109,"OK","LOG FINDING")))</f>
        <v/>
      </c>
    </row>
    <row r="110" spans="1:26">
      <c r="A110" s="17" t="str">
        <f>IF($B110="","","A-1105")</f>
        <v>A-1105</v>
      </c>
      <c r="B110" s="24">
        <v>46181</v>
      </c>
      <c r="C110" s="23" t="s">
        <v>25</v>
      </c>
      <c r="D110" s="28" t="s">
        <v>14</v>
      </c>
      <c r="E110" s="23" t="s">
        <v>32</v>
      </c>
      <c r="F110" s="23" t="s">
        <v>44</v>
      </c>
      <c r="G110" s="28" t="s">
        <v>49</v>
      </c>
      <c r="H110" s="28" t="s">
        <v>49</v>
      </c>
      <c r="I110" s="28" t="s">
        <v>49</v>
      </c>
      <c r="J110" s="28" t="s">
        <v>49</v>
      </c>
      <c r="K110" s="28" t="s">
        <v>49</v>
      </c>
      <c r="L110" s="28" t="s">
        <v>49</v>
      </c>
      <c r="M110" s="28" t="s">
        <v>49</v>
      </c>
      <c r="N110" s="28" t="s">
        <v>49</v>
      </c>
      <c r="O110" s="28" t="s">
        <v>49</v>
      </c>
      <c r="P110" s="28" t="s">
        <v>49</v>
      </c>
      <c r="Q110" s="28" t="s">
        <v>49</v>
      </c>
      <c r="R110" s="28" t="s">
        <v>49</v>
      </c>
      <c r="S110" s="28" t="s">
        <v>49</v>
      </c>
      <c r="T110" s="28" t="s">
        <v>49</v>
      </c>
      <c r="U110" s="28" t="s">
        <v>49</v>
      </c>
      <c r="V110" s="17">
        <f>IF($B110="","",COUNTIF(G110:U110,"OK"))</f>
        <v>15.0</v>
      </c>
      <c r="W110" s="17">
        <f>IF($B110="","",COUNTIF(G110:U110,"NOK"))</f>
        <v>0.0</v>
      </c>
      <c r="X110" s="9">
        <f>IF($B110="","",IF(V110+W110=0,"",V110/(V110+W110)))</f>
        <v>1.0</v>
      </c>
      <c r="Y110" s="17" t="str">
        <f>IF(X110="","",IF(X110&gt;=Setup!$C$7,"PASS","FAIL"))</f>
        <v>PASS</v>
      </c>
      <c r="Z110" s="17">
        <f>IF($B110="","",IF(W110=0,"",IF(COUNTIF(Findings!$B$6:$B$305,$A110)&gt;=W110,"OK","LOG FINDING")))</f>
        <v/>
      </c>
    </row>
    <row r="111" spans="1:26">
      <c r="A111" s="17" t="str">
        <f>IF($B111="","","A-1106")</f>
        <v>A-1106</v>
      </c>
      <c r="B111" s="24">
        <v>46182</v>
      </c>
      <c r="C111" s="23" t="s">
        <v>23</v>
      </c>
      <c r="D111" s="28" t="s">
        <v>14</v>
      </c>
      <c r="E111" s="23" t="s">
        <v>34</v>
      </c>
      <c r="F111" s="23" t="s">
        <v>43</v>
      </c>
      <c r="G111" s="28" t="s">
        <v>49</v>
      </c>
      <c r="H111" s="28" t="s">
        <v>49</v>
      </c>
      <c r="I111" s="28" t="s">
        <v>49</v>
      </c>
      <c r="J111" s="28" t="s">
        <v>51</v>
      </c>
      <c r="K111" s="28" t="s">
        <v>49</v>
      </c>
      <c r="L111" s="28" t="s">
        <v>49</v>
      </c>
      <c r="M111" s="28" t="s">
        <v>49</v>
      </c>
      <c r="N111" s="28" t="s">
        <v>49</v>
      </c>
      <c r="O111" s="28" t="s">
        <v>49</v>
      </c>
      <c r="P111" s="28" t="s">
        <v>49</v>
      </c>
      <c r="Q111" s="28" t="s">
        <v>49</v>
      </c>
      <c r="R111" s="28" t="s">
        <v>49</v>
      </c>
      <c r="S111" s="28" t="s">
        <v>49</v>
      </c>
      <c r="T111" s="28" t="s">
        <v>49</v>
      </c>
      <c r="U111" s="28" t="s">
        <v>49</v>
      </c>
      <c r="V111" s="17">
        <f>IF($B111="","",COUNTIF(G111:U111,"OK"))</f>
        <v>14.0</v>
      </c>
      <c r="W111" s="17">
        <f>IF($B111="","",COUNTIF(G111:U111,"NOK"))</f>
        <v>0.0</v>
      </c>
      <c r="X111" s="9">
        <f>IF($B111="","",IF(V111+W111=0,"",V111/(V111+W111)))</f>
        <v>1.0</v>
      </c>
      <c r="Y111" s="17" t="str">
        <f>IF(X111="","",IF(X111&gt;=Setup!$C$7,"PASS","FAIL"))</f>
        <v>PASS</v>
      </c>
      <c r="Z111" s="17">
        <f>IF($B111="","",IF(W111=0,"",IF(COUNTIF(Findings!$B$6:$B$305,$A111)&gt;=W111,"OK","LOG FINDING")))</f>
        <v/>
      </c>
    </row>
    <row r="112" spans="1:26">
      <c r="A112" s="17" t="str">
        <f>IF($B112="","","A-1107")</f>
        <v>A-1107</v>
      </c>
      <c r="B112" s="24">
        <v>46183</v>
      </c>
      <c r="C112" s="23" t="s">
        <v>22</v>
      </c>
      <c r="D112" s="28" t="s">
        <v>18</v>
      </c>
      <c r="E112" s="23" t="s">
        <v>38</v>
      </c>
      <c r="F112" s="23" t="s">
        <v>43</v>
      </c>
      <c r="G112" s="28" t="s">
        <v>49</v>
      </c>
      <c r="H112" s="28" t="s">
        <v>49</v>
      </c>
      <c r="I112" s="28" t="s">
        <v>49</v>
      </c>
      <c r="J112" s="28" t="s">
        <v>49</v>
      </c>
      <c r="K112" s="28" t="s">
        <v>49</v>
      </c>
      <c r="L112" s="28" t="s">
        <v>49</v>
      </c>
      <c r="M112" s="28" t="s">
        <v>49</v>
      </c>
      <c r="N112" s="28" t="s">
        <v>49</v>
      </c>
      <c r="O112" s="28" t="s">
        <v>49</v>
      </c>
      <c r="P112" s="28" t="s">
        <v>49</v>
      </c>
      <c r="Q112" s="28" t="s">
        <v>51</v>
      </c>
      <c r="R112" s="28" t="s">
        <v>49</v>
      </c>
      <c r="S112" s="28" t="s">
        <v>49</v>
      </c>
      <c r="T112" s="28" t="s">
        <v>49</v>
      </c>
      <c r="U112" s="28" t="s">
        <v>49</v>
      </c>
      <c r="V112" s="17">
        <f>IF($B112="","",COUNTIF(G112:U112,"OK"))</f>
        <v>14.0</v>
      </c>
      <c r="W112" s="17">
        <f>IF($B112="","",COUNTIF(G112:U112,"NOK"))</f>
        <v>0.0</v>
      </c>
      <c r="X112" s="9">
        <f>IF($B112="","",IF(V112+W112=0,"",V112/(V112+W112)))</f>
        <v>1.0</v>
      </c>
      <c r="Y112" s="17" t="str">
        <f>IF(X112="","",IF(X112&gt;=Setup!$C$7,"PASS","FAIL"))</f>
        <v>PASS</v>
      </c>
      <c r="Z112" s="17">
        <f>IF($B112="","",IF(W112=0,"",IF(COUNTIF(Findings!$B$6:$B$305,$A112)&gt;=W112,"OK","LOG FINDING")))</f>
        <v/>
      </c>
    </row>
    <row r="113" spans="1:26">
      <c r="A113" s="17" t="str">
        <f>IF($B113="","","A-1108")</f>
        <v>A-1108</v>
      </c>
      <c r="B113" s="24">
        <v>46184</v>
      </c>
      <c r="C113" s="23" t="s">
        <v>24</v>
      </c>
      <c r="D113" s="28" t="s">
        <v>14</v>
      </c>
      <c r="E113" s="23" t="s">
        <v>32</v>
      </c>
      <c r="F113" s="23" t="s">
        <v>44</v>
      </c>
      <c r="G113" s="28" t="s">
        <v>49</v>
      </c>
      <c r="H113" s="28" t="s">
        <v>49</v>
      </c>
      <c r="I113" s="28" t="s">
        <v>49</v>
      </c>
      <c r="J113" s="28" t="s">
        <v>49</v>
      </c>
      <c r="K113" s="28" t="s">
        <v>49</v>
      </c>
      <c r="L113" s="28" t="s">
        <v>49</v>
      </c>
      <c r="M113" s="28" t="s">
        <v>49</v>
      </c>
      <c r="N113" s="28" t="s">
        <v>49</v>
      </c>
      <c r="O113" s="28" t="s">
        <v>49</v>
      </c>
      <c r="P113" s="28" t="s">
        <v>49</v>
      </c>
      <c r="Q113" s="28" t="s">
        <v>49</v>
      </c>
      <c r="R113" s="28" t="s">
        <v>49</v>
      </c>
      <c r="S113" s="28" t="s">
        <v>49</v>
      </c>
      <c r="T113" s="28" t="s">
        <v>50</v>
      </c>
      <c r="U113" s="28" t="s">
        <v>49</v>
      </c>
      <c r="V113" s="17">
        <f>IF($B113="","",COUNTIF(G113:U113,"OK"))</f>
        <v>14.0</v>
      </c>
      <c r="W113" s="17">
        <f>IF($B113="","",COUNTIF(G113:U113,"NOK"))</f>
        <v>1.0</v>
      </c>
      <c r="X113" s="9">
        <f>IF($B113="","",IF(V113+W113=0,"",V113/(V113+W113)))</f>
        <v>0.9333333333333333</v>
      </c>
      <c r="Y113" s="17" t="str">
        <f>IF(X113="","",IF(X113&gt;=Setup!$C$7,"PASS","FAIL"))</f>
        <v>FAIL</v>
      </c>
      <c r="Z113" s="17" t="str">
        <f>IF($B113="","",IF(W113=0,"",IF(COUNTIF(Findings!$B$6:$B$305,$A113)&gt;=W113,"OK","LOG FINDING")))</f>
        <v>OK</v>
      </c>
    </row>
    <row r="114" spans="1:26">
      <c r="A114" s="17" t="str">
        <f>IF($B114="","","A-1109")</f>
        <v>A-1109</v>
      </c>
      <c r="B114" s="24">
        <v>46184</v>
      </c>
      <c r="C114" s="23" t="s">
        <v>22</v>
      </c>
      <c r="D114" s="28" t="s">
        <v>14</v>
      </c>
      <c r="E114" s="23" t="s">
        <v>34</v>
      </c>
      <c r="F114" s="23" t="s">
        <v>44</v>
      </c>
      <c r="G114" s="28" t="s">
        <v>49</v>
      </c>
      <c r="H114" s="28" t="s">
        <v>49</v>
      </c>
      <c r="I114" s="28" t="s">
        <v>49</v>
      </c>
      <c r="J114" s="28" t="s">
        <v>50</v>
      </c>
      <c r="K114" s="28" t="s">
        <v>49</v>
      </c>
      <c r="L114" s="28" t="s">
        <v>49</v>
      </c>
      <c r="M114" s="28" t="s">
        <v>49</v>
      </c>
      <c r="N114" s="28" t="s">
        <v>49</v>
      </c>
      <c r="O114" s="28" t="s">
        <v>49</v>
      </c>
      <c r="P114" s="28" t="s">
        <v>49</v>
      </c>
      <c r="Q114" s="28" t="s">
        <v>51</v>
      </c>
      <c r="R114" s="28" t="s">
        <v>49</v>
      </c>
      <c r="S114" s="28" t="s">
        <v>49</v>
      </c>
      <c r="T114" s="28" t="s">
        <v>49</v>
      </c>
      <c r="U114" s="28" t="s">
        <v>49</v>
      </c>
      <c r="V114" s="17">
        <f>IF($B114="","",COUNTIF(G114:U114,"OK"))</f>
        <v>13.0</v>
      </c>
      <c r="W114" s="17">
        <f>IF($B114="","",COUNTIF(G114:U114,"NOK"))</f>
        <v>1.0</v>
      </c>
      <c r="X114" s="9">
        <f>IF($B114="","",IF(V114+W114=0,"",V114/(V114+W114)))</f>
        <v>0.9285714285714286</v>
      </c>
      <c r="Y114" s="17" t="str">
        <f>IF(X114="","",IF(X114&gt;=Setup!$C$7,"PASS","FAIL"))</f>
        <v>FAIL</v>
      </c>
      <c r="Z114" s="17" t="str">
        <f>IF($B114="","",IF(W114=0,"",IF(COUNTIF(Findings!$B$6:$B$305,$A114)&gt;=W114,"OK","LOG FINDING")))</f>
        <v>OK</v>
      </c>
    </row>
    <row r="115" spans="1:26">
      <c r="A115" s="17" t="str">
        <f>IF($B115="","","A-1110")</f>
        <v>A-1110</v>
      </c>
      <c r="B115" s="24">
        <v>46184</v>
      </c>
      <c r="C115" s="23" t="s">
        <v>22</v>
      </c>
      <c r="D115" s="28" t="s">
        <v>16</v>
      </c>
      <c r="E115" s="23" t="s">
        <v>35</v>
      </c>
      <c r="F115" s="23" t="s">
        <v>44</v>
      </c>
      <c r="G115" s="28" t="s">
        <v>49</v>
      </c>
      <c r="H115" s="28" t="s">
        <v>49</v>
      </c>
      <c r="I115" s="28" t="s">
        <v>49</v>
      </c>
      <c r="J115" s="28" t="s">
        <v>49</v>
      </c>
      <c r="K115" s="28" t="s">
        <v>49</v>
      </c>
      <c r="L115" s="28" t="s">
        <v>49</v>
      </c>
      <c r="M115" s="28" t="s">
        <v>49</v>
      </c>
      <c r="N115" s="28" t="s">
        <v>49</v>
      </c>
      <c r="O115" s="28" t="s">
        <v>49</v>
      </c>
      <c r="P115" s="28" t="s">
        <v>49</v>
      </c>
      <c r="Q115" s="28" t="s">
        <v>51</v>
      </c>
      <c r="R115" s="28" t="s">
        <v>49</v>
      </c>
      <c r="S115" s="28" t="s">
        <v>49</v>
      </c>
      <c r="T115" s="28" t="s">
        <v>49</v>
      </c>
      <c r="U115" s="28" t="s">
        <v>49</v>
      </c>
      <c r="V115" s="17">
        <f>IF($B115="","",COUNTIF(G115:U115,"OK"))</f>
        <v>14.0</v>
      </c>
      <c r="W115" s="17">
        <f>IF($B115="","",COUNTIF(G115:U115,"NOK"))</f>
        <v>0.0</v>
      </c>
      <c r="X115" s="9">
        <f>IF($B115="","",IF(V115+W115=0,"",V115/(V115+W115)))</f>
        <v>1.0</v>
      </c>
      <c r="Y115" s="17" t="str">
        <f>IF(X115="","",IF(X115&gt;=Setup!$C$7,"PASS","FAIL"))</f>
        <v>PASS</v>
      </c>
      <c r="Z115" s="17">
        <f>IF($B115="","",IF(W115=0,"",IF(COUNTIF(Findings!$B$6:$B$305,$A115)&gt;=W115,"OK","LOG FINDING")))</f>
        <v/>
      </c>
    </row>
    <row r="116" spans="1:26">
      <c r="A116" s="17" t="str">
        <f>IF($B116="","","A-1111")</f>
        <v>A-1111</v>
      </c>
      <c r="B116" s="24">
        <v>46188</v>
      </c>
      <c r="C116" s="23" t="s">
        <v>25</v>
      </c>
      <c r="D116" s="28" t="s">
        <v>14</v>
      </c>
      <c r="E116" s="23" t="s">
        <v>32</v>
      </c>
      <c r="F116" s="23" t="s">
        <v>43</v>
      </c>
      <c r="G116" s="28" t="s">
        <v>49</v>
      </c>
      <c r="H116" s="28" t="s">
        <v>50</v>
      </c>
      <c r="I116" s="28" t="s">
        <v>49</v>
      </c>
      <c r="J116" s="28" t="s">
        <v>49</v>
      </c>
      <c r="K116" s="28" t="s">
        <v>49</v>
      </c>
      <c r="L116" s="28" t="s">
        <v>49</v>
      </c>
      <c r="M116" s="28" t="s">
        <v>49</v>
      </c>
      <c r="N116" s="28" t="s">
        <v>49</v>
      </c>
      <c r="O116" s="28" t="s">
        <v>49</v>
      </c>
      <c r="P116" s="28" t="s">
        <v>49</v>
      </c>
      <c r="Q116" s="28" t="s">
        <v>51</v>
      </c>
      <c r="R116" s="28" t="s">
        <v>49</v>
      </c>
      <c r="S116" s="28" t="s">
        <v>49</v>
      </c>
      <c r="T116" s="28" t="s">
        <v>49</v>
      </c>
      <c r="U116" s="28" t="s">
        <v>49</v>
      </c>
      <c r="V116" s="17">
        <f>IF($B116="","",COUNTIF(G116:U116,"OK"))</f>
        <v>13.0</v>
      </c>
      <c r="W116" s="17">
        <f>IF($B116="","",COUNTIF(G116:U116,"NOK"))</f>
        <v>1.0</v>
      </c>
      <c r="X116" s="9">
        <f>IF($B116="","",IF(V116+W116=0,"",V116/(V116+W116)))</f>
        <v>0.9285714285714286</v>
      </c>
      <c r="Y116" s="17" t="str">
        <f>IF(X116="","",IF(X116&gt;=Setup!$C$7,"PASS","FAIL"))</f>
        <v>FAIL</v>
      </c>
      <c r="Z116" s="17" t="str">
        <f>IF($B116="","",IF(W116=0,"",IF(COUNTIF(Findings!$B$6:$B$305,$A116)&gt;=W116,"OK","LOG FINDING")))</f>
        <v>OK</v>
      </c>
    </row>
    <row r="117" spans="1:26">
      <c r="A117" s="17" t="str">
        <f>IF($B117="","","A-1112")</f>
        <v>A-1112</v>
      </c>
      <c r="B117" s="24">
        <v>46189</v>
      </c>
      <c r="C117" s="23" t="s">
        <v>24</v>
      </c>
      <c r="D117" s="28" t="s">
        <v>18</v>
      </c>
      <c r="E117" s="23" t="s">
        <v>38</v>
      </c>
      <c r="F117" s="23" t="s">
        <v>44</v>
      </c>
      <c r="G117" s="28" t="s">
        <v>49</v>
      </c>
      <c r="H117" s="28" t="s">
        <v>49</v>
      </c>
      <c r="I117" s="28" t="s">
        <v>49</v>
      </c>
      <c r="J117" s="28" t="s">
        <v>49</v>
      </c>
      <c r="K117" s="28" t="s">
        <v>49</v>
      </c>
      <c r="L117" s="28" t="s">
        <v>49</v>
      </c>
      <c r="M117" s="28" t="s">
        <v>49</v>
      </c>
      <c r="N117" s="28" t="s">
        <v>49</v>
      </c>
      <c r="O117" s="28" t="s">
        <v>49</v>
      </c>
      <c r="P117" s="28" t="s">
        <v>49</v>
      </c>
      <c r="Q117" s="28" t="s">
        <v>49</v>
      </c>
      <c r="R117" s="28" t="s">
        <v>49</v>
      </c>
      <c r="S117" s="28" t="s">
        <v>49</v>
      </c>
      <c r="T117" s="28" t="s">
        <v>49</v>
      </c>
      <c r="U117" s="28" t="s">
        <v>49</v>
      </c>
      <c r="V117" s="17">
        <f>IF($B117="","",COUNTIF(G117:U117,"OK"))</f>
        <v>15.0</v>
      </c>
      <c r="W117" s="17">
        <f>IF($B117="","",COUNTIF(G117:U117,"NOK"))</f>
        <v>0.0</v>
      </c>
      <c r="X117" s="9">
        <f>IF($B117="","",IF(V117+W117=0,"",V117/(V117+W117)))</f>
        <v>1.0</v>
      </c>
      <c r="Y117" s="17" t="str">
        <f>IF(X117="","",IF(X117&gt;=Setup!$C$7,"PASS","FAIL"))</f>
        <v>PASS</v>
      </c>
      <c r="Z117" s="17">
        <f>IF($B117="","",IF(W117=0,"",IF(COUNTIF(Findings!$B$6:$B$305,$A117)&gt;=W117,"OK","LOG FINDING")))</f>
        <v/>
      </c>
    </row>
    <row r="118" spans="1:26">
      <c r="A118" s="17" t="str">
        <f>IF($B118="","","A-1113")</f>
        <v>A-1113</v>
      </c>
      <c r="B118" s="24">
        <v>46195</v>
      </c>
      <c r="C118" s="23" t="s">
        <v>22</v>
      </c>
      <c r="D118" s="28" t="s">
        <v>14</v>
      </c>
      <c r="E118" s="23" t="s">
        <v>34</v>
      </c>
      <c r="F118" s="23" t="s">
        <v>43</v>
      </c>
      <c r="G118" s="28" t="s">
        <v>49</v>
      </c>
      <c r="H118" s="28" t="s">
        <v>49</v>
      </c>
      <c r="I118" s="28" t="s">
        <v>49</v>
      </c>
      <c r="J118" s="28" t="s">
        <v>49</v>
      </c>
      <c r="K118" s="28" t="s">
        <v>49</v>
      </c>
      <c r="L118" s="28" t="s">
        <v>49</v>
      </c>
      <c r="M118" s="28" t="s">
        <v>49</v>
      </c>
      <c r="N118" s="28" t="s">
        <v>49</v>
      </c>
      <c r="O118" s="28" t="s">
        <v>49</v>
      </c>
      <c r="P118" s="28" t="s">
        <v>49</v>
      </c>
      <c r="Q118" s="28" t="s">
        <v>49</v>
      </c>
      <c r="R118" s="28" t="s">
        <v>49</v>
      </c>
      <c r="S118" s="28" t="s">
        <v>49</v>
      </c>
      <c r="T118" s="28" t="s">
        <v>49</v>
      </c>
      <c r="U118" s="28" t="s">
        <v>49</v>
      </c>
      <c r="V118" s="17">
        <f>IF($B118="","",COUNTIF(G118:U118,"OK"))</f>
        <v>15.0</v>
      </c>
      <c r="W118" s="17">
        <f>IF($B118="","",COUNTIF(G118:U118,"NOK"))</f>
        <v>0.0</v>
      </c>
      <c r="X118" s="9">
        <f>IF($B118="","",IF(V118+W118=0,"",V118/(V118+W118)))</f>
        <v>1.0</v>
      </c>
      <c r="Y118" s="17" t="str">
        <f>IF(X118="","",IF(X118&gt;=Setup!$C$7,"PASS","FAIL"))</f>
        <v>PASS</v>
      </c>
      <c r="Z118" s="17">
        <f>IF($B118="","",IF(W118=0,"",IF(COUNTIF(Findings!$B$6:$B$305,$A118)&gt;=W118,"OK","LOG FINDING")))</f>
        <v/>
      </c>
    </row>
    <row r="119" spans="1:26">
      <c r="A119" s="17" t="str">
        <f>IF($B119="","","A-1114")</f>
        <v>A-1114</v>
      </c>
      <c r="B119" s="24">
        <v>46196</v>
      </c>
      <c r="C119" s="23" t="s">
        <v>26</v>
      </c>
      <c r="D119" s="28" t="s">
        <v>16</v>
      </c>
      <c r="E119" s="23" t="s">
        <v>35</v>
      </c>
      <c r="F119" s="23" t="s">
        <v>43</v>
      </c>
      <c r="G119" s="28" t="s">
        <v>49</v>
      </c>
      <c r="H119" s="28" t="s">
        <v>49</v>
      </c>
      <c r="I119" s="28" t="s">
        <v>49</v>
      </c>
      <c r="J119" s="28" t="s">
        <v>51</v>
      </c>
      <c r="K119" s="28" t="s">
        <v>49</v>
      </c>
      <c r="L119" s="28" t="s">
        <v>49</v>
      </c>
      <c r="M119" s="28" t="s">
        <v>49</v>
      </c>
      <c r="N119" s="28" t="s">
        <v>49</v>
      </c>
      <c r="O119" s="28" t="s">
        <v>49</v>
      </c>
      <c r="P119" s="28" t="s">
        <v>49</v>
      </c>
      <c r="Q119" s="28" t="s">
        <v>49</v>
      </c>
      <c r="R119" s="28" t="s">
        <v>49</v>
      </c>
      <c r="S119" s="28" t="s">
        <v>49</v>
      </c>
      <c r="T119" s="28" t="s">
        <v>49</v>
      </c>
      <c r="U119" s="28" t="s">
        <v>49</v>
      </c>
      <c r="V119" s="17">
        <f>IF($B119="","",COUNTIF(G119:U119,"OK"))</f>
        <v>14.0</v>
      </c>
      <c r="W119" s="17">
        <f>IF($B119="","",COUNTIF(G119:U119,"NOK"))</f>
        <v>0.0</v>
      </c>
      <c r="X119" s="9">
        <f>IF($B119="","",IF(V119+W119=0,"",V119/(V119+W119)))</f>
        <v>1.0</v>
      </c>
      <c r="Y119" s="17" t="str">
        <f>IF(X119="","",IF(X119&gt;=Setup!$C$7,"PASS","FAIL"))</f>
        <v>PASS</v>
      </c>
      <c r="Z119" s="17">
        <f>IF($B119="","",IF(W119=0,"",IF(COUNTIF(Findings!$B$6:$B$305,$A119)&gt;=W119,"OK","LOG FINDING")))</f>
        <v/>
      </c>
    </row>
    <row r="120" spans="1:26">
      <c r="A120" s="17" t="str">
        <f>IF($B120="","","A-1115")</f>
        <v>A-1115</v>
      </c>
      <c r="B120" s="24">
        <v>46197</v>
      </c>
      <c r="C120" s="23" t="s">
        <v>26</v>
      </c>
      <c r="D120" s="28" t="s">
        <v>14</v>
      </c>
      <c r="E120" s="23" t="s">
        <v>33</v>
      </c>
      <c r="F120" s="23" t="s">
        <v>43</v>
      </c>
      <c r="G120" s="28" t="s">
        <v>49</v>
      </c>
      <c r="H120" s="28" t="s">
        <v>49</v>
      </c>
      <c r="I120" s="28" t="s">
        <v>49</v>
      </c>
      <c r="J120" s="28" t="s">
        <v>49</v>
      </c>
      <c r="K120" s="28" t="s">
        <v>49</v>
      </c>
      <c r="L120" s="28" t="s">
        <v>49</v>
      </c>
      <c r="M120" s="28" t="s">
        <v>50</v>
      </c>
      <c r="N120" s="28" t="s">
        <v>49</v>
      </c>
      <c r="O120" s="28" t="s">
        <v>49</v>
      </c>
      <c r="P120" s="28" t="s">
        <v>49</v>
      </c>
      <c r="Q120" s="28" t="s">
        <v>49</v>
      </c>
      <c r="R120" s="28" t="s">
        <v>49</v>
      </c>
      <c r="S120" s="28" t="s">
        <v>49</v>
      </c>
      <c r="T120" s="28" t="s">
        <v>49</v>
      </c>
      <c r="U120" s="28" t="s">
        <v>49</v>
      </c>
      <c r="V120" s="17">
        <f>IF($B120="","",COUNTIF(G120:U120,"OK"))</f>
        <v>14.0</v>
      </c>
      <c r="W120" s="17">
        <f>IF($B120="","",COUNTIF(G120:U120,"NOK"))</f>
        <v>1.0</v>
      </c>
      <c r="X120" s="9">
        <f>IF($B120="","",IF(V120+W120=0,"",V120/(V120+W120)))</f>
        <v>0.9333333333333333</v>
      </c>
      <c r="Y120" s="17" t="str">
        <f>IF(X120="","",IF(X120&gt;=Setup!$C$7,"PASS","FAIL"))</f>
        <v>FAIL</v>
      </c>
      <c r="Z120" s="17" t="str">
        <f>IF($B120="","",IF(W120=0,"",IF(COUNTIF(Findings!$B$6:$B$305,$A120)&gt;=W120,"OK","LOG FINDING")))</f>
        <v>OK</v>
      </c>
    </row>
    <row r="121" spans="1:26">
      <c r="A121" s="17" t="str">
        <f>IF($B121="","","A-1116")</f>
        <v>A-1116</v>
      </c>
      <c r="B121" s="24">
        <v>46197</v>
      </c>
      <c r="C121" s="23" t="s">
        <v>27</v>
      </c>
      <c r="D121" s="28" t="s">
        <v>14</v>
      </c>
      <c r="E121" s="23" t="s">
        <v>34</v>
      </c>
      <c r="F121" s="23" t="s">
        <v>44</v>
      </c>
      <c r="G121" s="28" t="s">
        <v>49</v>
      </c>
      <c r="H121" s="28" t="s">
        <v>49</v>
      </c>
      <c r="I121" s="28" t="s">
        <v>49</v>
      </c>
      <c r="J121" s="28" t="s">
        <v>49</v>
      </c>
      <c r="K121" s="28" t="s">
        <v>49</v>
      </c>
      <c r="L121" s="28" t="s">
        <v>49</v>
      </c>
      <c r="M121" s="28" t="s">
        <v>49</v>
      </c>
      <c r="N121" s="28" t="s">
        <v>49</v>
      </c>
      <c r="O121" s="28" t="s">
        <v>49</v>
      </c>
      <c r="P121" s="28" t="s">
        <v>49</v>
      </c>
      <c r="Q121" s="28" t="s">
        <v>50</v>
      </c>
      <c r="R121" s="28" t="s">
        <v>49</v>
      </c>
      <c r="S121" s="28" t="s">
        <v>49</v>
      </c>
      <c r="T121" s="28" t="s">
        <v>49</v>
      </c>
      <c r="U121" s="28" t="s">
        <v>49</v>
      </c>
      <c r="V121" s="17">
        <f>IF($B121="","",COUNTIF(G121:U121,"OK"))</f>
        <v>14.0</v>
      </c>
      <c r="W121" s="17">
        <f>IF($B121="","",COUNTIF(G121:U121,"NOK"))</f>
        <v>1.0</v>
      </c>
      <c r="X121" s="9">
        <f>IF($B121="","",IF(V121+W121=0,"",V121/(V121+W121)))</f>
        <v>0.9333333333333333</v>
      </c>
      <c r="Y121" s="17" t="str">
        <f>IF(X121="","",IF(X121&gt;=Setup!$C$7,"PASS","FAIL"))</f>
        <v>FAIL</v>
      </c>
      <c r="Z121" s="17" t="str">
        <f>IF($B121="","",IF(W121=0,"",IF(COUNTIF(Findings!$B$6:$B$305,$A121)&gt;=W121,"OK","LOG FINDING")))</f>
        <v>OK</v>
      </c>
    </row>
    <row r="122" spans="1:26">
      <c r="A122" s="17" t="str">
        <f>IF($B122="","","A-1117")</f>
        <v>A-1117</v>
      </c>
      <c r="B122" s="24">
        <v>46198</v>
      </c>
      <c r="C122" s="23" t="s">
        <v>23</v>
      </c>
      <c r="D122" s="28" t="s">
        <v>16</v>
      </c>
      <c r="E122" s="23" t="s">
        <v>35</v>
      </c>
      <c r="F122" s="23" t="s">
        <v>43</v>
      </c>
      <c r="G122" s="28" t="s">
        <v>49</v>
      </c>
      <c r="H122" s="28" t="s">
        <v>49</v>
      </c>
      <c r="I122" s="28" t="s">
        <v>49</v>
      </c>
      <c r="J122" s="28" t="s">
        <v>49</v>
      </c>
      <c r="K122" s="28" t="s">
        <v>49</v>
      </c>
      <c r="L122" s="28" t="s">
        <v>49</v>
      </c>
      <c r="M122" s="28" t="s">
        <v>49</v>
      </c>
      <c r="N122" s="28" t="s">
        <v>49</v>
      </c>
      <c r="O122" s="28" t="s">
        <v>49</v>
      </c>
      <c r="P122" s="28" t="s">
        <v>49</v>
      </c>
      <c r="Q122" s="28" t="s">
        <v>49</v>
      </c>
      <c r="R122" s="28" t="s">
        <v>49</v>
      </c>
      <c r="S122" s="28" t="s">
        <v>49</v>
      </c>
      <c r="T122" s="28" t="s">
        <v>49</v>
      </c>
      <c r="U122" s="28" t="s">
        <v>50</v>
      </c>
      <c r="V122" s="17">
        <f>IF($B122="","",COUNTIF(G122:U122,"OK"))</f>
        <v>14.0</v>
      </c>
      <c r="W122" s="17">
        <f>IF($B122="","",COUNTIF(G122:U122,"NOK"))</f>
        <v>1.0</v>
      </c>
      <c r="X122" s="9">
        <f>IF($B122="","",IF(V122+W122=0,"",V122/(V122+W122)))</f>
        <v>0.9333333333333333</v>
      </c>
      <c r="Y122" s="17" t="str">
        <f>IF(X122="","",IF(X122&gt;=Setup!$C$7,"PASS","FAIL"))</f>
        <v>FAIL</v>
      </c>
      <c r="Z122" s="17" t="str">
        <f>IF($B122="","",IF(W122=0,"",IF(COUNTIF(Findings!$B$6:$B$305,$A122)&gt;=W122,"OK","LOG FINDING")))</f>
        <v>OK</v>
      </c>
    </row>
    <row r="123" spans="1:26">
      <c r="A123" s="17" t="str">
        <f>IF($B123="","","A-1118")</f>
        <v>A-1118</v>
      </c>
      <c r="B123" s="24">
        <v>46199</v>
      </c>
      <c r="C123" s="23" t="s">
        <v>23</v>
      </c>
      <c r="D123" s="28" t="s">
        <v>14</v>
      </c>
      <c r="E123" s="23" t="s">
        <v>34</v>
      </c>
      <c r="F123" s="23" t="s">
        <v>43</v>
      </c>
      <c r="G123" s="28" t="s">
        <v>50</v>
      </c>
      <c r="H123" s="28" t="s">
        <v>49</v>
      </c>
      <c r="I123" s="28" t="s">
        <v>49</v>
      </c>
      <c r="J123" s="28" t="s">
        <v>51</v>
      </c>
      <c r="K123" s="28" t="s">
        <v>49</v>
      </c>
      <c r="L123" s="28" t="s">
        <v>49</v>
      </c>
      <c r="M123" s="28" t="s">
        <v>49</v>
      </c>
      <c r="N123" s="28" t="s">
        <v>49</v>
      </c>
      <c r="O123" s="28" t="s">
        <v>49</v>
      </c>
      <c r="P123" s="28" t="s">
        <v>49</v>
      </c>
      <c r="Q123" s="28" t="s">
        <v>49</v>
      </c>
      <c r="R123" s="28" t="s">
        <v>49</v>
      </c>
      <c r="S123" s="28" t="s">
        <v>49</v>
      </c>
      <c r="T123" s="28" t="s">
        <v>49</v>
      </c>
      <c r="U123" s="28" t="s">
        <v>49</v>
      </c>
      <c r="V123" s="17">
        <f>IF($B123="","",COUNTIF(G123:U123,"OK"))</f>
        <v>13.0</v>
      </c>
      <c r="W123" s="17">
        <f>IF($B123="","",COUNTIF(G123:U123,"NOK"))</f>
        <v>1.0</v>
      </c>
      <c r="X123" s="9">
        <f>IF($B123="","",IF(V123+W123=0,"",V123/(V123+W123)))</f>
        <v>0.9285714285714286</v>
      </c>
      <c r="Y123" s="17" t="str">
        <f>IF(X123="","",IF(X123&gt;=Setup!$C$7,"PASS","FAIL"))</f>
        <v>FAIL</v>
      </c>
      <c r="Z123" s="17" t="str">
        <f>IF($B123="","",IF(W123=0,"",IF(COUNTIF(Findings!$B$6:$B$305,$A123)&gt;=W123,"OK","LOG FINDING")))</f>
        <v>OK</v>
      </c>
    </row>
    <row r="124" spans="1:26">
      <c r="A124" s="17" t="str">
        <f>IF($B124="","","A-1119")</f>
        <v>A-1119</v>
      </c>
      <c r="B124" s="24">
        <v>46203</v>
      </c>
      <c r="C124" s="23" t="s">
        <v>25</v>
      </c>
      <c r="D124" s="28" t="s">
        <v>16</v>
      </c>
      <c r="E124" s="23" t="s">
        <v>36</v>
      </c>
      <c r="F124" s="23" t="s">
        <v>43</v>
      </c>
      <c r="G124" s="28" t="s">
        <v>49</v>
      </c>
      <c r="H124" s="28" t="s">
        <v>49</v>
      </c>
      <c r="I124" s="28" t="s">
        <v>49</v>
      </c>
      <c r="J124" s="28" t="s">
        <v>50</v>
      </c>
      <c r="K124" s="28" t="s">
        <v>49</v>
      </c>
      <c r="L124" s="28" t="s">
        <v>49</v>
      </c>
      <c r="M124" s="28" t="s">
        <v>49</v>
      </c>
      <c r="N124" s="28" t="s">
        <v>49</v>
      </c>
      <c r="O124" s="28" t="s">
        <v>49</v>
      </c>
      <c r="P124" s="28" t="s">
        <v>49</v>
      </c>
      <c r="Q124" s="28" t="s">
        <v>51</v>
      </c>
      <c r="R124" s="28" t="s">
        <v>49</v>
      </c>
      <c r="S124" s="28" t="s">
        <v>49</v>
      </c>
      <c r="T124" s="28" t="s">
        <v>49</v>
      </c>
      <c r="U124" s="28" t="s">
        <v>49</v>
      </c>
      <c r="V124" s="17">
        <f>IF($B124="","",COUNTIF(G124:U124,"OK"))</f>
        <v>13.0</v>
      </c>
      <c r="W124" s="17">
        <f>IF($B124="","",COUNTIF(G124:U124,"NOK"))</f>
        <v>1.0</v>
      </c>
      <c r="X124" s="9">
        <f>IF($B124="","",IF(V124+W124=0,"",V124/(V124+W124)))</f>
        <v>0.9285714285714286</v>
      </c>
      <c r="Y124" s="17" t="str">
        <f>IF(X124="","",IF(X124&gt;=Setup!$C$7,"PASS","FAIL"))</f>
        <v>FAIL</v>
      </c>
      <c r="Z124" s="17" t="str">
        <f>IF($B124="","",IF(W124=0,"",IF(COUNTIF(Findings!$B$6:$B$305,$A124)&gt;=W124,"OK","LOG FINDING")))</f>
        <v>OK</v>
      </c>
    </row>
    <row r="125" spans="1:26">
      <c r="A125" s="17" t="str">
        <f>IF($B125="","","A-1120")</f>
        <v>A-1120</v>
      </c>
      <c r="B125" s="24">
        <v>46204</v>
      </c>
      <c r="C125" s="23" t="s">
        <v>24</v>
      </c>
      <c r="D125" s="28" t="s">
        <v>14</v>
      </c>
      <c r="E125" s="23" t="s">
        <v>32</v>
      </c>
      <c r="F125" s="23" t="s">
        <v>44</v>
      </c>
      <c r="G125" s="28" t="s">
        <v>49</v>
      </c>
      <c r="H125" s="28" t="s">
        <v>49</v>
      </c>
      <c r="I125" s="28" t="s">
        <v>49</v>
      </c>
      <c r="J125" s="28" t="s">
        <v>49</v>
      </c>
      <c r="K125" s="28" t="s">
        <v>49</v>
      </c>
      <c r="L125" s="28" t="s">
        <v>50</v>
      </c>
      <c r="M125" s="28" t="s">
        <v>49</v>
      </c>
      <c r="N125" s="28" t="s">
        <v>49</v>
      </c>
      <c r="O125" s="28" t="s">
        <v>49</v>
      </c>
      <c r="P125" s="28" t="s">
        <v>49</v>
      </c>
      <c r="Q125" s="28" t="s">
        <v>49</v>
      </c>
      <c r="R125" s="28" t="s">
        <v>49</v>
      </c>
      <c r="S125" s="28" t="s">
        <v>49</v>
      </c>
      <c r="T125" s="28" t="s">
        <v>49</v>
      </c>
      <c r="U125" s="28" t="s">
        <v>49</v>
      </c>
      <c r="V125" s="17">
        <f>IF($B125="","",COUNTIF(G125:U125,"OK"))</f>
        <v>14.0</v>
      </c>
      <c r="W125" s="17">
        <f>IF($B125="","",COUNTIF(G125:U125,"NOK"))</f>
        <v>1.0</v>
      </c>
      <c r="X125" s="9">
        <f>IF($B125="","",IF(V125+W125=0,"",V125/(V125+W125)))</f>
        <v>0.9333333333333333</v>
      </c>
      <c r="Y125" s="17" t="str">
        <f>IF(X125="","",IF(X125&gt;=Setup!$C$7,"PASS","FAIL"))</f>
        <v>FAIL</v>
      </c>
      <c r="Z125" s="17" t="str">
        <f>IF($B125="","",IF(W125=0,"",IF(COUNTIF(Findings!$B$6:$B$305,$A125)&gt;=W125,"OK","LOG FINDING")))</f>
        <v>OK</v>
      </c>
    </row>
    <row r="126" spans="1:26">
      <c r="A126" s="17" t="str">
        <f>IF($B126="","","A-1121")</f>
        <v>A-1121</v>
      </c>
      <c r="B126" s="24">
        <v>46205</v>
      </c>
      <c r="C126" s="23" t="s">
        <v>23</v>
      </c>
      <c r="D126" s="28" t="s">
        <v>14</v>
      </c>
      <c r="E126" s="23" t="s">
        <v>34</v>
      </c>
      <c r="F126" s="23" t="s">
        <v>43</v>
      </c>
      <c r="G126" s="28" t="s">
        <v>49</v>
      </c>
      <c r="H126" s="28" t="s">
        <v>49</v>
      </c>
      <c r="I126" s="28" t="s">
        <v>49</v>
      </c>
      <c r="J126" s="28" t="s">
        <v>49</v>
      </c>
      <c r="K126" s="28" t="s">
        <v>49</v>
      </c>
      <c r="L126" s="28" t="s">
        <v>49</v>
      </c>
      <c r="M126" s="28" t="s">
        <v>49</v>
      </c>
      <c r="N126" s="28" t="s">
        <v>49</v>
      </c>
      <c r="O126" s="28" t="s">
        <v>49</v>
      </c>
      <c r="P126" s="28" t="s">
        <v>49</v>
      </c>
      <c r="Q126" s="28" t="s">
        <v>49</v>
      </c>
      <c r="R126" s="28" t="s">
        <v>49</v>
      </c>
      <c r="S126" s="28" t="s">
        <v>49</v>
      </c>
      <c r="T126" s="28" t="s">
        <v>49</v>
      </c>
      <c r="U126" s="28" t="s">
        <v>49</v>
      </c>
      <c r="V126" s="17">
        <f>IF($B126="","",COUNTIF(G126:U126,"OK"))</f>
        <v>15.0</v>
      </c>
      <c r="W126" s="17">
        <f>IF($B126="","",COUNTIF(G126:U126,"NOK"))</f>
        <v>0.0</v>
      </c>
      <c r="X126" s="9">
        <f>IF($B126="","",IF(V126+W126=0,"",V126/(V126+W126)))</f>
        <v>1.0</v>
      </c>
      <c r="Y126" s="17" t="str">
        <f>IF(X126="","",IF(X126&gt;=Setup!$C$7,"PASS","FAIL"))</f>
        <v>PASS</v>
      </c>
      <c r="Z126" s="17">
        <f>IF($B126="","",IF(W126=0,"",IF(COUNTIF(Findings!$B$6:$B$305,$A126)&gt;=W126,"OK","LOG FINDING")))</f>
        <v/>
      </c>
    </row>
    <row r="127" spans="1:26">
      <c r="A127" s="17" t="str">
        <f>IF($B127="","","A-1122")</f>
        <v>A-1122</v>
      </c>
      <c r="B127" s="24">
        <v>46206</v>
      </c>
      <c r="C127" s="23" t="s">
        <v>24</v>
      </c>
      <c r="D127" s="28" t="s">
        <v>14</v>
      </c>
      <c r="E127" s="23" t="s">
        <v>34</v>
      </c>
      <c r="F127" s="23" t="s">
        <v>43</v>
      </c>
      <c r="G127" s="28" t="s">
        <v>49</v>
      </c>
      <c r="H127" s="28" t="s">
        <v>49</v>
      </c>
      <c r="I127" s="28" t="s">
        <v>49</v>
      </c>
      <c r="J127" s="28" t="s">
        <v>49</v>
      </c>
      <c r="K127" s="28" t="s">
        <v>50</v>
      </c>
      <c r="L127" s="28" t="s">
        <v>49</v>
      </c>
      <c r="M127" s="28" t="s">
        <v>49</v>
      </c>
      <c r="N127" s="28" t="s">
        <v>49</v>
      </c>
      <c r="O127" s="28" t="s">
        <v>49</v>
      </c>
      <c r="P127" s="28" t="s">
        <v>49</v>
      </c>
      <c r="Q127" s="28" t="s">
        <v>49</v>
      </c>
      <c r="R127" s="28" t="s">
        <v>49</v>
      </c>
      <c r="S127" s="28" t="s">
        <v>49</v>
      </c>
      <c r="T127" s="28" t="s">
        <v>49</v>
      </c>
      <c r="U127" s="28" t="s">
        <v>49</v>
      </c>
      <c r="V127" s="17">
        <f>IF($B127="","",COUNTIF(G127:U127,"OK"))</f>
        <v>14.0</v>
      </c>
      <c r="W127" s="17">
        <f>IF($B127="","",COUNTIF(G127:U127,"NOK"))</f>
        <v>1.0</v>
      </c>
      <c r="X127" s="9">
        <f>IF($B127="","",IF(V127+W127=0,"",V127/(V127+W127)))</f>
        <v>0.9333333333333333</v>
      </c>
      <c r="Y127" s="17" t="str">
        <f>IF(X127="","",IF(X127&gt;=Setup!$C$7,"PASS","FAIL"))</f>
        <v>FAIL</v>
      </c>
      <c r="Z127" s="17" t="str">
        <f>IF($B127="","",IF(W127=0,"",IF(COUNTIF(Findings!$B$6:$B$305,$A127)&gt;=W127,"OK","LOG FINDING")))</f>
        <v>OK</v>
      </c>
    </row>
    <row r="128" spans="1:26">
      <c r="A128" s="17" t="str">
        <f>IF($B128="","","A-1123")</f>
        <v>A-1123</v>
      </c>
      <c r="B128" s="24">
        <v>46209</v>
      </c>
      <c r="C128" s="23" t="s">
        <v>25</v>
      </c>
      <c r="D128" s="28" t="s">
        <v>16</v>
      </c>
      <c r="E128" s="23" t="s">
        <v>36</v>
      </c>
      <c r="F128" s="23" t="s">
        <v>44</v>
      </c>
      <c r="G128" s="28" t="s">
        <v>49</v>
      </c>
      <c r="H128" s="28" t="s">
        <v>49</v>
      </c>
      <c r="I128" s="28" t="s">
        <v>49</v>
      </c>
      <c r="J128" s="28" t="s">
        <v>49</v>
      </c>
      <c r="K128" s="28" t="s">
        <v>49</v>
      </c>
      <c r="L128" s="28" t="s">
        <v>49</v>
      </c>
      <c r="M128" s="28" t="s">
        <v>49</v>
      </c>
      <c r="N128" s="28" t="s">
        <v>49</v>
      </c>
      <c r="O128" s="28" t="s">
        <v>49</v>
      </c>
      <c r="P128" s="28" t="s">
        <v>49</v>
      </c>
      <c r="Q128" s="28" t="s">
        <v>49</v>
      </c>
      <c r="R128" s="28" t="s">
        <v>49</v>
      </c>
      <c r="S128" s="28" t="s">
        <v>49</v>
      </c>
      <c r="T128" s="28" t="s">
        <v>49</v>
      </c>
      <c r="U128" s="28" t="s">
        <v>50</v>
      </c>
      <c r="V128" s="17">
        <f>IF($B128="","",COUNTIF(G128:U128,"OK"))</f>
        <v>14.0</v>
      </c>
      <c r="W128" s="17">
        <f>IF($B128="","",COUNTIF(G128:U128,"NOK"))</f>
        <v>1.0</v>
      </c>
      <c r="X128" s="9">
        <f>IF($B128="","",IF(V128+W128=0,"",V128/(V128+W128)))</f>
        <v>0.9333333333333333</v>
      </c>
      <c r="Y128" s="17" t="str">
        <f>IF(X128="","",IF(X128&gt;=Setup!$C$7,"PASS","FAIL"))</f>
        <v>FAIL</v>
      </c>
      <c r="Z128" s="17" t="str">
        <f>IF($B128="","",IF(W128=0,"",IF(COUNTIF(Findings!$B$6:$B$305,$A128)&gt;=W128,"OK","LOG FINDING")))</f>
        <v>OK</v>
      </c>
    </row>
    <row r="129" spans="1:26">
      <c r="A129" s="17" t="str">
        <f>IF($B129="","","A-1124")</f>
        <v>A-1124</v>
      </c>
      <c r="B129" s="24">
        <v>46210</v>
      </c>
      <c r="C129" s="23" t="s">
        <v>26</v>
      </c>
      <c r="D129" s="28" t="s">
        <v>14</v>
      </c>
      <c r="E129" s="23" t="s">
        <v>34</v>
      </c>
      <c r="F129" s="23" t="s">
        <v>44</v>
      </c>
      <c r="G129" s="28" t="s">
        <v>49</v>
      </c>
      <c r="H129" s="28" t="s">
        <v>49</v>
      </c>
      <c r="I129" s="28" t="s">
        <v>49</v>
      </c>
      <c r="J129" s="28" t="s">
        <v>50</v>
      </c>
      <c r="K129" s="28" t="s">
        <v>49</v>
      </c>
      <c r="L129" s="28" t="s">
        <v>49</v>
      </c>
      <c r="M129" s="28" t="s">
        <v>49</v>
      </c>
      <c r="N129" s="28" t="s">
        <v>49</v>
      </c>
      <c r="O129" s="28" t="s">
        <v>49</v>
      </c>
      <c r="P129" s="28" t="s">
        <v>49</v>
      </c>
      <c r="Q129" s="28" t="s">
        <v>49</v>
      </c>
      <c r="R129" s="28" t="s">
        <v>49</v>
      </c>
      <c r="S129" s="28" t="s">
        <v>49</v>
      </c>
      <c r="T129" s="28" t="s">
        <v>49</v>
      </c>
      <c r="U129" s="28" t="s">
        <v>49</v>
      </c>
      <c r="V129" s="17">
        <f>IF($B129="","",COUNTIF(G129:U129,"OK"))</f>
        <v>14.0</v>
      </c>
      <c r="W129" s="17">
        <f>IF($B129="","",COUNTIF(G129:U129,"NOK"))</f>
        <v>1.0</v>
      </c>
      <c r="X129" s="9">
        <f>IF($B129="","",IF(V129+W129=0,"",V129/(V129+W129)))</f>
        <v>0.9333333333333333</v>
      </c>
      <c r="Y129" s="17" t="str">
        <f>IF(X129="","",IF(X129&gt;=Setup!$C$7,"PASS","FAIL"))</f>
        <v>FAIL</v>
      </c>
      <c r="Z129" s="17" t="str">
        <f>IF($B129="","",IF(W129=0,"",IF(COUNTIF(Findings!$B$6:$B$305,$A129)&gt;=W129,"OK","LOG FINDING")))</f>
        <v>OK</v>
      </c>
    </row>
    <row r="130" spans="1:26">
      <c r="A130" s="17" t="str">
        <f>IF($B130="","","A-1125")</f>
        <v>A-1125</v>
      </c>
      <c r="B130" s="24">
        <v>46210</v>
      </c>
      <c r="C130" s="23" t="s">
        <v>22</v>
      </c>
      <c r="D130" s="28" t="s">
        <v>14</v>
      </c>
      <c r="E130" s="23" t="s">
        <v>32</v>
      </c>
      <c r="F130" s="23" t="s">
        <v>43</v>
      </c>
      <c r="G130" s="28" t="s">
        <v>49</v>
      </c>
      <c r="H130" s="28" t="s">
        <v>49</v>
      </c>
      <c r="I130" s="28" t="s">
        <v>49</v>
      </c>
      <c r="J130" s="28" t="s">
        <v>49</v>
      </c>
      <c r="K130" s="28" t="s">
        <v>49</v>
      </c>
      <c r="L130" s="28" t="s">
        <v>49</v>
      </c>
      <c r="M130" s="28" t="s">
        <v>49</v>
      </c>
      <c r="N130" s="28" t="s">
        <v>49</v>
      </c>
      <c r="O130" s="28" t="s">
        <v>49</v>
      </c>
      <c r="P130" s="28" t="s">
        <v>49</v>
      </c>
      <c r="Q130" s="28" t="s">
        <v>51</v>
      </c>
      <c r="R130" s="28" t="s">
        <v>49</v>
      </c>
      <c r="S130" s="28" t="s">
        <v>49</v>
      </c>
      <c r="T130" s="28" t="s">
        <v>49</v>
      </c>
      <c r="U130" s="28" t="s">
        <v>49</v>
      </c>
      <c r="V130" s="17">
        <f>IF($B130="","",COUNTIF(G130:U130,"OK"))</f>
        <v>14.0</v>
      </c>
      <c r="W130" s="17">
        <f>IF($B130="","",COUNTIF(G130:U130,"NOK"))</f>
        <v>0.0</v>
      </c>
      <c r="X130" s="9">
        <f>IF($B130="","",IF(V130+W130=0,"",V130/(V130+W130)))</f>
        <v>1.0</v>
      </c>
      <c r="Y130" s="17" t="str">
        <f>IF(X130="","",IF(X130&gt;=Setup!$C$7,"PASS","FAIL"))</f>
        <v>PASS</v>
      </c>
      <c r="Z130" s="17">
        <f>IF($B130="","",IF(W130=0,"",IF(COUNTIF(Findings!$B$6:$B$305,$A130)&gt;=W130,"OK","LOG FINDING")))</f>
        <v/>
      </c>
    </row>
    <row r="131" spans="1:26">
      <c r="A131" s="17" t="str">
        <f>IF($B131="","","A-1126")</f>
        <v>A-1126</v>
      </c>
      <c r="B131" s="24">
        <v>46210</v>
      </c>
      <c r="C131" s="23" t="s">
        <v>22</v>
      </c>
      <c r="D131" s="28" t="s">
        <v>14</v>
      </c>
      <c r="E131" s="23" t="s">
        <v>32</v>
      </c>
      <c r="F131" s="23" t="s">
        <v>43</v>
      </c>
      <c r="G131" s="28" t="s">
        <v>49</v>
      </c>
      <c r="H131" s="28" t="s">
        <v>49</v>
      </c>
      <c r="I131" s="28" t="s">
        <v>50</v>
      </c>
      <c r="J131" s="28" t="s">
        <v>49</v>
      </c>
      <c r="K131" s="28" t="s">
        <v>49</v>
      </c>
      <c r="L131" s="28" t="s">
        <v>49</v>
      </c>
      <c r="M131" s="28" t="s">
        <v>49</v>
      </c>
      <c r="N131" s="28" t="s">
        <v>49</v>
      </c>
      <c r="O131" s="28" t="s">
        <v>49</v>
      </c>
      <c r="P131" s="28" t="s">
        <v>49</v>
      </c>
      <c r="Q131" s="28" t="s">
        <v>51</v>
      </c>
      <c r="R131" s="28" t="s">
        <v>49</v>
      </c>
      <c r="S131" s="28" t="s">
        <v>49</v>
      </c>
      <c r="T131" s="28" t="s">
        <v>49</v>
      </c>
      <c r="U131" s="28" t="s">
        <v>49</v>
      </c>
      <c r="V131" s="17">
        <f>IF($B131="","",COUNTIF(G131:U131,"OK"))</f>
        <v>13.0</v>
      </c>
      <c r="W131" s="17">
        <f>IF($B131="","",COUNTIF(G131:U131,"NOK"))</f>
        <v>1.0</v>
      </c>
      <c r="X131" s="9">
        <f>IF($B131="","",IF(V131+W131=0,"",V131/(V131+W131)))</f>
        <v>0.9285714285714286</v>
      </c>
      <c r="Y131" s="17" t="str">
        <f>IF(X131="","",IF(X131&gt;=Setup!$C$7,"PASS","FAIL"))</f>
        <v>FAIL</v>
      </c>
      <c r="Z131" s="17" t="str">
        <f>IF($B131="","",IF(W131=0,"",IF(COUNTIF(Findings!$B$6:$B$305,$A131)&gt;=W131,"OK","LOG FINDING")))</f>
        <v>OK</v>
      </c>
    </row>
    <row r="132" spans="1:26">
      <c r="A132" s="17" t="str">
        <f>IF($B132="","","A-1127")</f>
        <v>A-1127</v>
      </c>
      <c r="B132" s="24">
        <v>46211</v>
      </c>
      <c r="C132" s="23" t="s">
        <v>26</v>
      </c>
      <c r="D132" s="28" t="s">
        <v>16</v>
      </c>
      <c r="E132" s="23" t="s">
        <v>36</v>
      </c>
      <c r="F132" s="23" t="s">
        <v>43</v>
      </c>
      <c r="G132" s="28" t="s">
        <v>49</v>
      </c>
      <c r="H132" s="28" t="s">
        <v>49</v>
      </c>
      <c r="I132" s="28" t="s">
        <v>49</v>
      </c>
      <c r="J132" s="28" t="s">
        <v>51</v>
      </c>
      <c r="K132" s="28" t="s">
        <v>49</v>
      </c>
      <c r="L132" s="28" t="s">
        <v>49</v>
      </c>
      <c r="M132" s="28" t="s">
        <v>49</v>
      </c>
      <c r="N132" s="28" t="s">
        <v>49</v>
      </c>
      <c r="O132" s="28" t="s">
        <v>49</v>
      </c>
      <c r="P132" s="28" t="s">
        <v>49</v>
      </c>
      <c r="Q132" s="28" t="s">
        <v>49</v>
      </c>
      <c r="R132" s="28" t="s">
        <v>49</v>
      </c>
      <c r="S132" s="28" t="s">
        <v>49</v>
      </c>
      <c r="T132" s="28" t="s">
        <v>49</v>
      </c>
      <c r="U132" s="28" t="s">
        <v>49</v>
      </c>
      <c r="V132" s="17">
        <f>IF($B132="","",COUNTIF(G132:U132,"OK"))</f>
        <v>14.0</v>
      </c>
      <c r="W132" s="17">
        <f>IF($B132="","",COUNTIF(G132:U132,"NOK"))</f>
        <v>0.0</v>
      </c>
      <c r="X132" s="9">
        <f>IF($B132="","",IF(V132+W132=0,"",V132/(V132+W132)))</f>
        <v>1.0</v>
      </c>
      <c r="Y132" s="17" t="str">
        <f>IF(X132="","",IF(X132&gt;=Setup!$C$7,"PASS","FAIL"))</f>
        <v>PASS</v>
      </c>
      <c r="Z132" s="17">
        <f>IF($B132="","",IF(W132=0,"",IF(COUNTIF(Findings!$B$6:$B$305,$A132)&gt;=W132,"OK","LOG FINDING")))</f>
        <v/>
      </c>
    </row>
    <row r="133" spans="1:26">
      <c r="A133" s="17" t="str">
        <f>IF($B133="","","A-1128")</f>
        <v>A-1128</v>
      </c>
      <c r="B133" s="24">
        <v>46218</v>
      </c>
      <c r="C133" s="23" t="s">
        <v>23</v>
      </c>
      <c r="D133" s="28" t="s">
        <v>16</v>
      </c>
      <c r="E133" s="23" t="s">
        <v>36</v>
      </c>
      <c r="F133" s="23" t="s">
        <v>43</v>
      </c>
      <c r="G133" s="28" t="s">
        <v>49</v>
      </c>
      <c r="H133" s="28" t="s">
        <v>50</v>
      </c>
      <c r="I133" s="28" t="s">
        <v>49</v>
      </c>
      <c r="J133" s="28" t="s">
        <v>49</v>
      </c>
      <c r="K133" s="28" t="s">
        <v>49</v>
      </c>
      <c r="L133" s="28" t="s">
        <v>49</v>
      </c>
      <c r="M133" s="28" t="s">
        <v>49</v>
      </c>
      <c r="N133" s="28" t="s">
        <v>49</v>
      </c>
      <c r="O133" s="28" t="s">
        <v>49</v>
      </c>
      <c r="P133" s="28" t="s">
        <v>49</v>
      </c>
      <c r="Q133" s="28" t="s">
        <v>49</v>
      </c>
      <c r="R133" s="28" t="s">
        <v>49</v>
      </c>
      <c r="S133" s="28" t="s">
        <v>49</v>
      </c>
      <c r="T133" s="28" t="s">
        <v>49</v>
      </c>
      <c r="U133" s="28" t="s">
        <v>49</v>
      </c>
      <c r="V133" s="17">
        <f>IF($B133="","",COUNTIF(G133:U133,"OK"))</f>
        <v>14.0</v>
      </c>
      <c r="W133" s="17">
        <f>IF($B133="","",COUNTIF(G133:U133,"NOK"))</f>
        <v>1.0</v>
      </c>
      <c r="X133" s="9">
        <f>IF($B133="","",IF(V133+W133=0,"",V133/(V133+W133)))</f>
        <v>0.9333333333333333</v>
      </c>
      <c r="Y133" s="17" t="str">
        <f>IF(X133="","",IF(X133&gt;=Setup!$C$7,"PASS","FAIL"))</f>
        <v>FAIL</v>
      </c>
      <c r="Z133" s="17" t="str">
        <f>IF($B133="","",IF(W133=0,"",IF(COUNTIF(Findings!$B$6:$B$305,$A133)&gt;=W133,"OK","LOG FINDING")))</f>
        <v>OK</v>
      </c>
    </row>
    <row r="134" spans="1:26">
      <c r="A134" s="17" t="str">
        <f>IF($B134="","","A-1129")</f>
        <v>A-1129</v>
      </c>
      <c r="B134" s="24">
        <v>46219</v>
      </c>
      <c r="C134" s="23" t="s">
        <v>25</v>
      </c>
      <c r="D134" s="28" t="s">
        <v>14</v>
      </c>
      <c r="E134" s="23" t="s">
        <v>32</v>
      </c>
      <c r="F134" s="23" t="s">
        <v>43</v>
      </c>
      <c r="G134" s="28" t="s">
        <v>49</v>
      </c>
      <c r="H134" s="28" t="s">
        <v>49</v>
      </c>
      <c r="I134" s="28" t="s">
        <v>49</v>
      </c>
      <c r="J134" s="28" t="s">
        <v>49</v>
      </c>
      <c r="K134" s="28" t="s">
        <v>49</v>
      </c>
      <c r="L134" s="28" t="s">
        <v>49</v>
      </c>
      <c r="M134" s="28" t="s">
        <v>49</v>
      </c>
      <c r="N134" s="28" t="s">
        <v>49</v>
      </c>
      <c r="O134" s="28" t="s">
        <v>49</v>
      </c>
      <c r="P134" s="28" t="s">
        <v>49</v>
      </c>
      <c r="Q134" s="28" t="s">
        <v>49</v>
      </c>
      <c r="R134" s="28" t="s">
        <v>49</v>
      </c>
      <c r="S134" s="28" t="s">
        <v>50</v>
      </c>
      <c r="T134" s="28" t="s">
        <v>49</v>
      </c>
      <c r="U134" s="28" t="s">
        <v>49</v>
      </c>
      <c r="V134" s="17">
        <f>IF($B134="","",COUNTIF(G134:U134,"OK"))</f>
        <v>14.0</v>
      </c>
      <c r="W134" s="17">
        <f>IF($B134="","",COUNTIF(G134:U134,"NOK"))</f>
        <v>1.0</v>
      </c>
      <c r="X134" s="9">
        <f>IF($B134="","",IF(V134+W134=0,"",V134/(V134+W134)))</f>
        <v>0.9333333333333333</v>
      </c>
      <c r="Y134" s="17" t="str">
        <f>IF(X134="","",IF(X134&gt;=Setup!$C$7,"PASS","FAIL"))</f>
        <v>FAIL</v>
      </c>
      <c r="Z134" s="17" t="str">
        <f>IF($B134="","",IF(W134=0,"",IF(COUNTIF(Findings!$B$6:$B$305,$A134)&gt;=W134,"OK","LOG FINDING")))</f>
        <v>OK</v>
      </c>
    </row>
    <row r="135" spans="1:26">
      <c r="A135" s="17" t="str">
        <f>IF($B135="","","A-1130")</f>
        <v>A-1130</v>
      </c>
      <c r="B135" s="24">
        <v>46220</v>
      </c>
      <c r="C135" s="23" t="s">
        <v>26</v>
      </c>
      <c r="D135" s="28" t="s">
        <v>14</v>
      </c>
      <c r="E135" s="23" t="s">
        <v>33</v>
      </c>
      <c r="F135" s="23" t="s">
        <v>44</v>
      </c>
      <c r="G135" s="28" t="s">
        <v>49</v>
      </c>
      <c r="H135" s="28" t="s">
        <v>49</v>
      </c>
      <c r="I135" s="28" t="s">
        <v>49</v>
      </c>
      <c r="J135" s="28" t="s">
        <v>49</v>
      </c>
      <c r="K135" s="28" t="s">
        <v>49</v>
      </c>
      <c r="L135" s="28" t="s">
        <v>49</v>
      </c>
      <c r="M135" s="28" t="s">
        <v>49</v>
      </c>
      <c r="N135" s="28" t="s">
        <v>50</v>
      </c>
      <c r="O135" s="28" t="s">
        <v>49</v>
      </c>
      <c r="P135" s="28" t="s">
        <v>49</v>
      </c>
      <c r="Q135" s="28" t="s">
        <v>49</v>
      </c>
      <c r="R135" s="28" t="s">
        <v>49</v>
      </c>
      <c r="S135" s="28" t="s">
        <v>49</v>
      </c>
      <c r="T135" s="28" t="s">
        <v>49</v>
      </c>
      <c r="U135" s="28" t="s">
        <v>49</v>
      </c>
      <c r="V135" s="17">
        <f>IF($B135="","",COUNTIF(G135:U135,"OK"))</f>
        <v>14.0</v>
      </c>
      <c r="W135" s="17">
        <f>IF($B135="","",COUNTIF(G135:U135,"NOK"))</f>
        <v>1.0</v>
      </c>
      <c r="X135" s="9">
        <f>IF($B135="","",IF(V135+W135=0,"",V135/(V135+W135)))</f>
        <v>0.9333333333333333</v>
      </c>
      <c r="Y135" s="17" t="str">
        <f>IF(X135="","",IF(X135&gt;=Setup!$C$7,"PASS","FAIL"))</f>
        <v>FAIL</v>
      </c>
      <c r="Z135" s="17" t="str">
        <f>IF($B135="","",IF(W135=0,"",IF(COUNTIF(Findings!$B$6:$B$305,$A135)&gt;=W135,"OK","LOG FINDING")))</f>
        <v>OK</v>
      </c>
    </row>
    <row r="136" spans="1:26">
      <c r="A136" s="17" t="str">
        <f>IF($B136="","","A-1131")</f>
        <v>A-1131</v>
      </c>
      <c r="B136" s="24">
        <v>46223</v>
      </c>
      <c r="C136" s="23" t="s">
        <v>25</v>
      </c>
      <c r="D136" s="28" t="s">
        <v>14</v>
      </c>
      <c r="E136" s="23" t="s">
        <v>32</v>
      </c>
      <c r="F136" s="23" t="s">
        <v>44</v>
      </c>
      <c r="G136" s="28" t="s">
        <v>49</v>
      </c>
      <c r="H136" s="28" t="s">
        <v>49</v>
      </c>
      <c r="I136" s="28" t="s">
        <v>49</v>
      </c>
      <c r="J136" s="28" t="s">
        <v>49</v>
      </c>
      <c r="K136" s="28" t="s">
        <v>49</v>
      </c>
      <c r="L136" s="28" t="s">
        <v>49</v>
      </c>
      <c r="M136" s="28" t="s">
        <v>49</v>
      </c>
      <c r="N136" s="28" t="s">
        <v>49</v>
      </c>
      <c r="O136" s="28" t="s">
        <v>49</v>
      </c>
      <c r="P136" s="28" t="s">
        <v>49</v>
      </c>
      <c r="Q136" s="28" t="s">
        <v>49</v>
      </c>
      <c r="R136" s="28" t="s">
        <v>49</v>
      </c>
      <c r="S136" s="28" t="s">
        <v>49</v>
      </c>
      <c r="T136" s="28" t="s">
        <v>49</v>
      </c>
      <c r="U136" s="28" t="s">
        <v>49</v>
      </c>
      <c r="V136" s="17">
        <f>IF($B136="","",COUNTIF(G136:U136,"OK"))</f>
        <v>15.0</v>
      </c>
      <c r="W136" s="17">
        <f>IF($B136="","",COUNTIF(G136:U136,"NOK"))</f>
        <v>0.0</v>
      </c>
      <c r="X136" s="9">
        <f>IF($B136="","",IF(V136+W136=0,"",V136/(V136+W136)))</f>
        <v>1.0</v>
      </c>
      <c r="Y136" s="17" t="str">
        <f>IF(X136="","",IF(X136&gt;=Setup!$C$7,"PASS","FAIL"))</f>
        <v>PASS</v>
      </c>
      <c r="Z136" s="17">
        <f>IF($B136="","",IF(W136=0,"",IF(COUNTIF(Findings!$B$6:$B$305,$A136)&gt;=W136,"OK","LOG FINDING")))</f>
        <v/>
      </c>
    </row>
    <row r="137" spans="1:26">
      <c r="A137" s="17" t="str">
        <f>IF($B137="","","A-1132")</f>
        <v>A-1132</v>
      </c>
      <c r="B137" s="24">
        <v>46225</v>
      </c>
      <c r="C137" s="23" t="s">
        <v>27</v>
      </c>
      <c r="D137" s="28" t="s">
        <v>14</v>
      </c>
      <c r="E137" s="23" t="s">
        <v>32</v>
      </c>
      <c r="F137" s="23" t="s">
        <v>44</v>
      </c>
      <c r="G137" s="28" t="s">
        <v>49</v>
      </c>
      <c r="H137" s="28" t="s">
        <v>49</v>
      </c>
      <c r="I137" s="28" t="s">
        <v>49</v>
      </c>
      <c r="J137" s="28" t="s">
        <v>49</v>
      </c>
      <c r="K137" s="28" t="s">
        <v>49</v>
      </c>
      <c r="L137" s="28" t="s">
        <v>49</v>
      </c>
      <c r="M137" s="28" t="s">
        <v>49</v>
      </c>
      <c r="N137" s="28" t="s">
        <v>49</v>
      </c>
      <c r="O137" s="28" t="s">
        <v>49</v>
      </c>
      <c r="P137" s="28" t="s">
        <v>49</v>
      </c>
      <c r="Q137" s="28" t="s">
        <v>49</v>
      </c>
      <c r="R137" s="28" t="s">
        <v>49</v>
      </c>
      <c r="S137" s="28" t="s">
        <v>49</v>
      </c>
      <c r="T137" s="28" t="s">
        <v>49</v>
      </c>
      <c r="U137" s="28" t="s">
        <v>49</v>
      </c>
      <c r="V137" s="17">
        <f>IF($B137="","",COUNTIF(G137:U137,"OK"))</f>
        <v>15.0</v>
      </c>
      <c r="W137" s="17">
        <f>IF($B137="","",COUNTIF(G137:U137,"NOK"))</f>
        <v>0.0</v>
      </c>
      <c r="X137" s="9">
        <f>IF($B137="","",IF(V137+W137=0,"",V137/(V137+W137)))</f>
        <v>1.0</v>
      </c>
      <c r="Y137" s="17" t="str">
        <f>IF(X137="","",IF(X137&gt;=Setup!$C$7,"PASS","FAIL"))</f>
        <v>PASS</v>
      </c>
      <c r="Z137" s="17">
        <f>IF($B137="","",IF(W137=0,"",IF(COUNTIF(Findings!$B$6:$B$305,$A137)&gt;=W137,"OK","LOG FINDING")))</f>
        <v/>
      </c>
    </row>
    <row r="138" spans="1:26">
      <c r="A138" s="17" t="str">
        <f>IF($B138="","","A-1133")</f>
        <v>A-1133</v>
      </c>
      <c r="B138" s="24">
        <v>46226</v>
      </c>
      <c r="C138" s="23" t="s">
        <v>23</v>
      </c>
      <c r="D138" s="28" t="s">
        <v>18</v>
      </c>
      <c r="E138" s="23" t="s">
        <v>37</v>
      </c>
      <c r="F138" s="23" t="s">
        <v>43</v>
      </c>
      <c r="G138" s="28" t="s">
        <v>49</v>
      </c>
      <c r="H138" s="28" t="s">
        <v>49</v>
      </c>
      <c r="I138" s="28" t="s">
        <v>49</v>
      </c>
      <c r="J138" s="28" t="s">
        <v>49</v>
      </c>
      <c r="K138" s="28" t="s">
        <v>49</v>
      </c>
      <c r="L138" s="28" t="s">
        <v>49</v>
      </c>
      <c r="M138" s="28" t="s">
        <v>49</v>
      </c>
      <c r="N138" s="28" t="s">
        <v>49</v>
      </c>
      <c r="O138" s="28" t="s">
        <v>49</v>
      </c>
      <c r="P138" s="28" t="s">
        <v>49</v>
      </c>
      <c r="Q138" s="28" t="s">
        <v>49</v>
      </c>
      <c r="R138" s="28" t="s">
        <v>49</v>
      </c>
      <c r="S138" s="28" t="s">
        <v>49</v>
      </c>
      <c r="T138" s="28" t="s">
        <v>49</v>
      </c>
      <c r="U138" s="28" t="s">
        <v>49</v>
      </c>
      <c r="V138" s="17">
        <f>IF($B138="","",COUNTIF(G138:U138,"OK"))</f>
        <v>15.0</v>
      </c>
      <c r="W138" s="17">
        <f>IF($B138="","",COUNTIF(G138:U138,"NOK"))</f>
        <v>0.0</v>
      </c>
      <c r="X138" s="9">
        <f>IF($B138="","",IF(V138+W138=0,"",V138/(V138+W138)))</f>
        <v>1.0</v>
      </c>
      <c r="Y138" s="17" t="str">
        <f>IF(X138="","",IF(X138&gt;=Setup!$C$7,"PASS","FAIL"))</f>
        <v>PASS</v>
      </c>
      <c r="Z138" s="17">
        <f>IF($B138="","",IF(W138=0,"",IF(COUNTIF(Findings!$B$6:$B$305,$A138)&gt;=W138,"OK","LOG FINDING")))</f>
        <v/>
      </c>
    </row>
    <row r="139" spans="1:26">
      <c r="A139" s="17" t="str">
        <f>IF($B139="","","A-1134")</f>
        <v>A-1134</v>
      </c>
      <c r="B139" s="24">
        <v>46230</v>
      </c>
      <c r="C139" s="23" t="s">
        <v>27</v>
      </c>
      <c r="D139" s="28" t="s">
        <v>16</v>
      </c>
      <c r="E139" s="23" t="s">
        <v>35</v>
      </c>
      <c r="F139" s="23" t="s">
        <v>44</v>
      </c>
      <c r="G139" s="28" t="s">
        <v>49</v>
      </c>
      <c r="H139" s="28" t="s">
        <v>49</v>
      </c>
      <c r="I139" s="28" t="s">
        <v>49</v>
      </c>
      <c r="J139" s="28" t="s">
        <v>49</v>
      </c>
      <c r="K139" s="28" t="s">
        <v>49</v>
      </c>
      <c r="L139" s="28" t="s">
        <v>49</v>
      </c>
      <c r="M139" s="28" t="s">
        <v>49</v>
      </c>
      <c r="N139" s="28" t="s">
        <v>49</v>
      </c>
      <c r="O139" s="28" t="s">
        <v>49</v>
      </c>
      <c r="P139" s="28" t="s">
        <v>49</v>
      </c>
      <c r="Q139" s="28" t="s">
        <v>49</v>
      </c>
      <c r="R139" s="28" t="s">
        <v>49</v>
      </c>
      <c r="S139" s="28" t="s">
        <v>49</v>
      </c>
      <c r="T139" s="28" t="s">
        <v>49</v>
      </c>
      <c r="U139" s="28" t="s">
        <v>49</v>
      </c>
      <c r="V139" s="17">
        <f>IF($B139="","",COUNTIF(G139:U139,"OK"))</f>
        <v>15.0</v>
      </c>
      <c r="W139" s="17">
        <f>IF($B139="","",COUNTIF(G139:U139,"NOK"))</f>
        <v>0.0</v>
      </c>
      <c r="X139" s="9">
        <f>IF($B139="","",IF(V139+W139=0,"",V139/(V139+W139)))</f>
        <v>1.0</v>
      </c>
      <c r="Y139" s="17" t="str">
        <f>IF(X139="","",IF(X139&gt;=Setup!$C$7,"PASS","FAIL"))</f>
        <v>PASS</v>
      </c>
      <c r="Z139" s="17">
        <f>IF($B139="","",IF(W139=0,"",IF(COUNTIF(Findings!$B$6:$B$305,$A139)&gt;=W139,"OK","LOG FINDING")))</f>
        <v/>
      </c>
    </row>
    <row r="140" spans="1:26">
      <c r="A140" s="17" t="str">
        <f>IF($B140="","","A-1135")</f>
        <v>A-1135</v>
      </c>
      <c r="B140" s="24">
        <v>46230</v>
      </c>
      <c r="C140" s="23" t="s">
        <v>22</v>
      </c>
      <c r="D140" s="28" t="s">
        <v>16</v>
      </c>
      <c r="E140" s="23" t="s">
        <v>36</v>
      </c>
      <c r="F140" s="23" t="s">
        <v>43</v>
      </c>
      <c r="G140" s="28" t="s">
        <v>49</v>
      </c>
      <c r="H140" s="28" t="s">
        <v>49</v>
      </c>
      <c r="I140" s="28" t="s">
        <v>49</v>
      </c>
      <c r="J140" s="28" t="s">
        <v>49</v>
      </c>
      <c r="K140" s="28" t="s">
        <v>49</v>
      </c>
      <c r="L140" s="28" t="s">
        <v>49</v>
      </c>
      <c r="M140" s="28" t="s">
        <v>49</v>
      </c>
      <c r="N140" s="28" t="s">
        <v>49</v>
      </c>
      <c r="O140" s="28" t="s">
        <v>49</v>
      </c>
      <c r="P140" s="28" t="s">
        <v>49</v>
      </c>
      <c r="Q140" s="28" t="s">
        <v>49</v>
      </c>
      <c r="R140" s="28" t="s">
        <v>49</v>
      </c>
      <c r="S140" s="28" t="s">
        <v>49</v>
      </c>
      <c r="T140" s="28" t="s">
        <v>49</v>
      </c>
      <c r="U140" s="28" t="s">
        <v>50</v>
      </c>
      <c r="V140" s="17">
        <f>IF($B140="","",COUNTIF(G140:U140,"OK"))</f>
        <v>14.0</v>
      </c>
      <c r="W140" s="17">
        <f>IF($B140="","",COUNTIF(G140:U140,"NOK"))</f>
        <v>1.0</v>
      </c>
      <c r="X140" s="9">
        <f>IF($B140="","",IF(V140+W140=0,"",V140/(V140+W140)))</f>
        <v>0.9333333333333333</v>
      </c>
      <c r="Y140" s="17" t="str">
        <f>IF(X140="","",IF(X140&gt;=Setup!$C$7,"PASS","FAIL"))</f>
        <v>FAIL</v>
      </c>
      <c r="Z140" s="17" t="str">
        <f>IF($B140="","",IF(W140=0,"",IF(COUNTIF(Findings!$B$6:$B$305,$A140)&gt;=W140,"OK","LOG FINDING")))</f>
        <v>OK</v>
      </c>
    </row>
    <row r="141" spans="1:26">
      <c r="A141" s="17" t="str">
        <f>IF($B141="","","A-1136")</f>
        <v>A-1136</v>
      </c>
      <c r="B141" s="24">
        <v>46233</v>
      </c>
      <c r="C141" s="23" t="s">
        <v>23</v>
      </c>
      <c r="D141" s="28" t="s">
        <v>14</v>
      </c>
      <c r="E141" s="23" t="s">
        <v>32</v>
      </c>
      <c r="F141" s="23" t="s">
        <v>43</v>
      </c>
      <c r="G141" s="28" t="s">
        <v>49</v>
      </c>
      <c r="H141" s="28" t="s">
        <v>49</v>
      </c>
      <c r="I141" s="28" t="s">
        <v>49</v>
      </c>
      <c r="J141" s="28" t="s">
        <v>49</v>
      </c>
      <c r="K141" s="28" t="s">
        <v>49</v>
      </c>
      <c r="L141" s="28" t="s">
        <v>50</v>
      </c>
      <c r="M141" s="28" t="s">
        <v>49</v>
      </c>
      <c r="N141" s="28" t="s">
        <v>49</v>
      </c>
      <c r="O141" s="28" t="s">
        <v>49</v>
      </c>
      <c r="P141" s="28" t="s">
        <v>49</v>
      </c>
      <c r="Q141" s="28" t="s">
        <v>51</v>
      </c>
      <c r="R141" s="28" t="s">
        <v>49</v>
      </c>
      <c r="S141" s="28" t="s">
        <v>49</v>
      </c>
      <c r="T141" s="28" t="s">
        <v>49</v>
      </c>
      <c r="U141" s="28" t="s">
        <v>49</v>
      </c>
      <c r="V141" s="17">
        <f>IF($B141="","",COUNTIF(G141:U141,"OK"))</f>
        <v>13.0</v>
      </c>
      <c r="W141" s="17">
        <f>IF($B141="","",COUNTIF(G141:U141,"NOK"))</f>
        <v>1.0</v>
      </c>
      <c r="X141" s="9">
        <f>IF($B141="","",IF(V141+W141=0,"",V141/(V141+W141)))</f>
        <v>0.9285714285714286</v>
      </c>
      <c r="Y141" s="17" t="str">
        <f>IF(X141="","",IF(X141&gt;=Setup!$C$7,"PASS","FAIL"))</f>
        <v>FAIL</v>
      </c>
      <c r="Z141" s="17" t="str">
        <f>IF($B141="","",IF(W141=0,"",IF(COUNTIF(Findings!$B$6:$B$305,$A141)&gt;=W141,"OK","LOG FINDING")))</f>
        <v>OK</v>
      </c>
    </row>
    <row r="142" spans="1:26">
      <c r="A142" s="17" t="str">
        <f>IF($B142="","","A-1137")</f>
        <v>A-1137</v>
      </c>
      <c r="B142" s="24">
        <v>46233</v>
      </c>
      <c r="C142" s="23" t="s">
        <v>25</v>
      </c>
      <c r="D142" s="28" t="s">
        <v>18</v>
      </c>
      <c r="E142" s="23" t="s">
        <v>37</v>
      </c>
      <c r="F142" s="23" t="s">
        <v>43</v>
      </c>
      <c r="G142" s="28" t="s">
        <v>49</v>
      </c>
      <c r="H142" s="28" t="s">
        <v>49</v>
      </c>
      <c r="I142" s="28" t="s">
        <v>49</v>
      </c>
      <c r="J142" s="28" t="s">
        <v>49</v>
      </c>
      <c r="K142" s="28" t="s">
        <v>49</v>
      </c>
      <c r="L142" s="28" t="s">
        <v>49</v>
      </c>
      <c r="M142" s="28" t="s">
        <v>49</v>
      </c>
      <c r="N142" s="28" t="s">
        <v>49</v>
      </c>
      <c r="O142" s="28" t="s">
        <v>49</v>
      </c>
      <c r="P142" s="28" t="s">
        <v>49</v>
      </c>
      <c r="Q142" s="28" t="s">
        <v>49</v>
      </c>
      <c r="R142" s="28" t="s">
        <v>49</v>
      </c>
      <c r="S142" s="28" t="s">
        <v>49</v>
      </c>
      <c r="T142" s="28" t="s">
        <v>49</v>
      </c>
      <c r="U142" s="28" t="s">
        <v>49</v>
      </c>
      <c r="V142" s="17">
        <f>IF($B142="","",COUNTIF(G142:U142,"OK"))</f>
        <v>15.0</v>
      </c>
      <c r="W142" s="17">
        <f>IF($B142="","",COUNTIF(G142:U142,"NOK"))</f>
        <v>0.0</v>
      </c>
      <c r="X142" s="9">
        <f>IF($B142="","",IF(V142+W142=0,"",V142/(V142+W142)))</f>
        <v>1.0</v>
      </c>
      <c r="Y142" s="17" t="str">
        <f>IF(X142="","",IF(X142&gt;=Setup!$C$7,"PASS","FAIL"))</f>
        <v>PASS</v>
      </c>
      <c r="Z142" s="17">
        <f>IF($B142="","",IF(W142=0,"",IF(COUNTIF(Findings!$B$6:$B$305,$A142)&gt;=W142,"OK","LOG FINDING")))</f>
        <v/>
      </c>
    </row>
    <row r="143" spans="1:26">
      <c r="A143" s="17" t="str">
        <f>IF($B143="","","A-1138")</f>
        <v>A-1138</v>
      </c>
      <c r="B143" s="24">
        <v>46234</v>
      </c>
      <c r="C143" s="23" t="s">
        <v>24</v>
      </c>
      <c r="D143" s="28" t="s">
        <v>16</v>
      </c>
      <c r="E143" s="23" t="s">
        <v>36</v>
      </c>
      <c r="F143" s="23" t="s">
        <v>43</v>
      </c>
      <c r="G143" s="28" t="s">
        <v>49</v>
      </c>
      <c r="H143" s="28" t="s">
        <v>49</v>
      </c>
      <c r="I143" s="28" t="s">
        <v>49</v>
      </c>
      <c r="J143" s="28" t="s">
        <v>49</v>
      </c>
      <c r="K143" s="28" t="s">
        <v>49</v>
      </c>
      <c r="L143" s="28" t="s">
        <v>49</v>
      </c>
      <c r="M143" s="28" t="s">
        <v>49</v>
      </c>
      <c r="N143" s="28" t="s">
        <v>49</v>
      </c>
      <c r="O143" s="28" t="s">
        <v>49</v>
      </c>
      <c r="P143" s="28" t="s">
        <v>49</v>
      </c>
      <c r="Q143" s="28" t="s">
        <v>51</v>
      </c>
      <c r="R143" s="28" t="s">
        <v>49</v>
      </c>
      <c r="S143" s="28" t="s">
        <v>49</v>
      </c>
      <c r="T143" s="28" t="s">
        <v>49</v>
      </c>
      <c r="U143" s="28" t="s">
        <v>49</v>
      </c>
      <c r="V143" s="17">
        <f>IF($B143="","",COUNTIF(G143:U143,"OK"))</f>
        <v>14.0</v>
      </c>
      <c r="W143" s="17">
        <f>IF($B143="","",COUNTIF(G143:U143,"NOK"))</f>
        <v>0.0</v>
      </c>
      <c r="X143" s="9">
        <f>IF($B143="","",IF(V143+W143=0,"",V143/(V143+W143)))</f>
        <v>1.0</v>
      </c>
      <c r="Y143" s="17" t="str">
        <f>IF(X143="","",IF(X143&gt;=Setup!$C$7,"PASS","FAIL"))</f>
        <v>PASS</v>
      </c>
      <c r="Z143" s="17">
        <f>IF($B143="","",IF(W143=0,"",IF(COUNTIF(Findings!$B$6:$B$305,$A143)&gt;=W143,"OK","LOG FINDING")))</f>
        <v/>
      </c>
    </row>
    <row r="144" spans="1:26">
      <c r="A144" s="17" t="str">
        <f>IF($B144="","","A-1139")</f>
        <v>A-1139</v>
      </c>
      <c r="B144" s="24">
        <v>46234</v>
      </c>
      <c r="C144" s="23" t="s">
        <v>27</v>
      </c>
      <c r="D144" s="28" t="s">
        <v>14</v>
      </c>
      <c r="E144" s="23" t="s">
        <v>33</v>
      </c>
      <c r="F144" s="23" t="s">
        <v>43</v>
      </c>
      <c r="G144" s="28" t="s">
        <v>49</v>
      </c>
      <c r="H144" s="28" t="s">
        <v>49</v>
      </c>
      <c r="I144" s="28" t="s">
        <v>49</v>
      </c>
      <c r="J144" s="28" t="s">
        <v>49</v>
      </c>
      <c r="K144" s="28" t="s">
        <v>49</v>
      </c>
      <c r="L144" s="28" t="s">
        <v>49</v>
      </c>
      <c r="M144" s="28" t="s">
        <v>49</v>
      </c>
      <c r="N144" s="28" t="s">
        <v>49</v>
      </c>
      <c r="O144" s="28" t="s">
        <v>49</v>
      </c>
      <c r="P144" s="28" t="s">
        <v>49</v>
      </c>
      <c r="Q144" s="28" t="s">
        <v>49</v>
      </c>
      <c r="R144" s="28" t="s">
        <v>49</v>
      </c>
      <c r="S144" s="28" t="s">
        <v>49</v>
      </c>
      <c r="T144" s="28" t="s">
        <v>49</v>
      </c>
      <c r="U144" s="28" t="s">
        <v>49</v>
      </c>
      <c r="V144" s="17">
        <f>IF($B144="","",COUNTIF(G144:U144,"OK"))</f>
        <v>15.0</v>
      </c>
      <c r="W144" s="17">
        <f>IF($B144="","",COUNTIF(G144:U144,"NOK"))</f>
        <v>0.0</v>
      </c>
      <c r="X144" s="9">
        <f>IF($B144="","",IF(V144+W144=0,"",V144/(V144+W144)))</f>
        <v>1.0</v>
      </c>
      <c r="Y144" s="17" t="str">
        <f>IF(X144="","",IF(X144&gt;=Setup!$C$7,"PASS","FAIL"))</f>
        <v>PASS</v>
      </c>
      <c r="Z144" s="17">
        <f>IF($B144="","",IF(W144=0,"",IF(COUNTIF(Findings!$B$6:$B$305,$A144)&gt;=W144,"OK","LOG FINDING")))</f>
        <v/>
      </c>
    </row>
    <row r="145" spans="1:26">
      <c r="A145" s="17" t="str">
        <f>IF($B145="","","A-1140")</f>
        <v>A-1140</v>
      </c>
      <c r="B145" s="24">
        <v>46234</v>
      </c>
      <c r="C145" s="23" t="s">
        <v>27</v>
      </c>
      <c r="D145" s="28" t="s">
        <v>18</v>
      </c>
      <c r="E145" s="23" t="s">
        <v>38</v>
      </c>
      <c r="F145" s="23" t="s">
        <v>43</v>
      </c>
      <c r="G145" s="28" t="s">
        <v>49</v>
      </c>
      <c r="H145" s="28" t="s">
        <v>49</v>
      </c>
      <c r="I145" s="28" t="s">
        <v>49</v>
      </c>
      <c r="J145" s="28" t="s">
        <v>49</v>
      </c>
      <c r="K145" s="28" t="s">
        <v>49</v>
      </c>
      <c r="L145" s="28" t="s">
        <v>50</v>
      </c>
      <c r="M145" s="28" t="s">
        <v>49</v>
      </c>
      <c r="N145" s="28" t="s">
        <v>49</v>
      </c>
      <c r="O145" s="28" t="s">
        <v>49</v>
      </c>
      <c r="P145" s="28" t="s">
        <v>49</v>
      </c>
      <c r="Q145" s="28" t="s">
        <v>49</v>
      </c>
      <c r="R145" s="28" t="s">
        <v>49</v>
      </c>
      <c r="S145" s="28" t="s">
        <v>49</v>
      </c>
      <c r="T145" s="28" t="s">
        <v>50</v>
      </c>
      <c r="U145" s="28" t="s">
        <v>49</v>
      </c>
      <c r="V145" s="17">
        <f>IF($B145="","",COUNTIF(G145:U145,"OK"))</f>
        <v>13.0</v>
      </c>
      <c r="W145" s="17">
        <f>IF($B145="","",COUNTIF(G145:U145,"NOK"))</f>
        <v>2.0</v>
      </c>
      <c r="X145" s="9">
        <f>IF($B145="","",IF(V145+W145=0,"",V145/(V145+W145)))</f>
        <v>0.8666666666666667</v>
      </c>
      <c r="Y145" s="17" t="str">
        <f>IF(X145="","",IF(X145&gt;=Setup!$C$7,"PASS","FAIL"))</f>
        <v>FAIL</v>
      </c>
      <c r="Z145" s="17" t="str">
        <f>IF($B145="","",IF(W145=0,"",IF(COUNTIF(Findings!$B$6:$B$305,$A145)&gt;=W145,"OK","LOG FINDING")))</f>
        <v>OK</v>
      </c>
    </row>
    <row r="146" spans="1:26">
      <c r="A146" s="17" t="str">
        <f>IF($B146="","","A-1141")</f>
        <v>A-1141</v>
      </c>
      <c r="B146" s="24">
        <v>46239</v>
      </c>
      <c r="C146" s="23" t="s">
        <v>26</v>
      </c>
      <c r="D146" s="28" t="s">
        <v>14</v>
      </c>
      <c r="E146" s="23" t="s">
        <v>34</v>
      </c>
      <c r="F146" s="23" t="s">
        <v>44</v>
      </c>
      <c r="G146" s="28" t="s">
        <v>49</v>
      </c>
      <c r="H146" s="28" t="s">
        <v>49</v>
      </c>
      <c r="I146" s="28" t="s">
        <v>49</v>
      </c>
      <c r="J146" s="28" t="s">
        <v>49</v>
      </c>
      <c r="K146" s="28" t="s">
        <v>49</v>
      </c>
      <c r="L146" s="28" t="s">
        <v>49</v>
      </c>
      <c r="M146" s="28" t="s">
        <v>49</v>
      </c>
      <c r="N146" s="28" t="s">
        <v>50</v>
      </c>
      <c r="O146" s="28" t="s">
        <v>49</v>
      </c>
      <c r="P146" s="28" t="s">
        <v>49</v>
      </c>
      <c r="Q146" s="28" t="s">
        <v>49</v>
      </c>
      <c r="R146" s="28" t="s">
        <v>49</v>
      </c>
      <c r="S146" s="28" t="s">
        <v>49</v>
      </c>
      <c r="T146" s="28" t="s">
        <v>49</v>
      </c>
      <c r="U146" s="28" t="s">
        <v>49</v>
      </c>
      <c r="V146" s="17">
        <f>IF($B146="","",COUNTIF(G146:U146,"OK"))</f>
        <v>14.0</v>
      </c>
      <c r="W146" s="17">
        <f>IF($B146="","",COUNTIF(G146:U146,"NOK"))</f>
        <v>1.0</v>
      </c>
      <c r="X146" s="9">
        <f>IF($B146="","",IF(V146+W146=0,"",V146/(V146+W146)))</f>
        <v>0.9333333333333333</v>
      </c>
      <c r="Y146" s="17" t="str">
        <f>IF(X146="","",IF(X146&gt;=Setup!$C$7,"PASS","FAIL"))</f>
        <v>FAIL</v>
      </c>
      <c r="Z146" s="17" t="str">
        <f>IF($B146="","",IF(W146=0,"",IF(COUNTIF(Findings!$B$6:$B$305,$A146)&gt;=W146,"OK","LOG FINDING")))</f>
        <v>OK</v>
      </c>
    </row>
    <row r="147" spans="1:26">
      <c r="A147" s="17" t="str">
        <f>IF($B147="","","A-1142")</f>
        <v>A-1142</v>
      </c>
      <c r="B147" s="24">
        <v>46239</v>
      </c>
      <c r="C147" s="23" t="s">
        <v>27</v>
      </c>
      <c r="D147" s="28" t="s">
        <v>16</v>
      </c>
      <c r="E147" s="23" t="s">
        <v>35</v>
      </c>
      <c r="F147" s="23" t="s">
        <v>43</v>
      </c>
      <c r="G147" s="28" t="s">
        <v>49</v>
      </c>
      <c r="H147" s="28" t="s">
        <v>49</v>
      </c>
      <c r="I147" s="28" t="s">
        <v>49</v>
      </c>
      <c r="J147" s="28" t="s">
        <v>49</v>
      </c>
      <c r="K147" s="28" t="s">
        <v>49</v>
      </c>
      <c r="L147" s="28" t="s">
        <v>49</v>
      </c>
      <c r="M147" s="28" t="s">
        <v>49</v>
      </c>
      <c r="N147" s="28" t="s">
        <v>49</v>
      </c>
      <c r="O147" s="28" t="s">
        <v>49</v>
      </c>
      <c r="P147" s="28" t="s">
        <v>49</v>
      </c>
      <c r="Q147" s="28" t="s">
        <v>49</v>
      </c>
      <c r="R147" s="28" t="s">
        <v>49</v>
      </c>
      <c r="S147" s="28" t="s">
        <v>49</v>
      </c>
      <c r="T147" s="28" t="s">
        <v>49</v>
      </c>
      <c r="U147" s="28" t="s">
        <v>49</v>
      </c>
      <c r="V147" s="17">
        <f>IF($B147="","",COUNTIF(G147:U147,"OK"))</f>
        <v>15.0</v>
      </c>
      <c r="W147" s="17">
        <f>IF($B147="","",COUNTIF(G147:U147,"NOK"))</f>
        <v>0.0</v>
      </c>
      <c r="X147" s="9">
        <f>IF($B147="","",IF(V147+W147=0,"",V147/(V147+W147)))</f>
        <v>1.0</v>
      </c>
      <c r="Y147" s="17" t="str">
        <f>IF(X147="","",IF(X147&gt;=Setup!$C$7,"PASS","FAIL"))</f>
        <v>PASS</v>
      </c>
      <c r="Z147" s="17">
        <f>IF($B147="","",IF(W147=0,"",IF(COUNTIF(Findings!$B$6:$B$305,$A147)&gt;=W147,"OK","LOG FINDING")))</f>
        <v/>
      </c>
    </row>
    <row r="148" spans="1:26">
      <c r="A148" s="17" t="str">
        <f>IF($B148="","","A-1143")</f>
        <v>A-1143</v>
      </c>
      <c r="B148" s="24">
        <v>46240</v>
      </c>
      <c r="C148" s="23" t="s">
        <v>26</v>
      </c>
      <c r="D148" s="28" t="s">
        <v>16</v>
      </c>
      <c r="E148" s="23" t="s">
        <v>35</v>
      </c>
      <c r="F148" s="23" t="s">
        <v>43</v>
      </c>
      <c r="G148" s="28" t="s">
        <v>49</v>
      </c>
      <c r="H148" s="28" t="s">
        <v>49</v>
      </c>
      <c r="I148" s="28" t="s">
        <v>49</v>
      </c>
      <c r="J148" s="28" t="s">
        <v>49</v>
      </c>
      <c r="K148" s="28" t="s">
        <v>49</v>
      </c>
      <c r="L148" s="28" t="s">
        <v>49</v>
      </c>
      <c r="M148" s="28" t="s">
        <v>49</v>
      </c>
      <c r="N148" s="28" t="s">
        <v>49</v>
      </c>
      <c r="O148" s="28" t="s">
        <v>49</v>
      </c>
      <c r="P148" s="28" t="s">
        <v>49</v>
      </c>
      <c r="Q148" s="28" t="s">
        <v>51</v>
      </c>
      <c r="R148" s="28" t="s">
        <v>49</v>
      </c>
      <c r="S148" s="28" t="s">
        <v>49</v>
      </c>
      <c r="T148" s="28" t="s">
        <v>49</v>
      </c>
      <c r="U148" s="28" t="s">
        <v>49</v>
      </c>
      <c r="V148" s="17">
        <f>IF($B148="","",COUNTIF(G148:U148,"OK"))</f>
        <v>14.0</v>
      </c>
      <c r="W148" s="17">
        <f>IF($B148="","",COUNTIF(G148:U148,"NOK"))</f>
        <v>0.0</v>
      </c>
      <c r="X148" s="9">
        <f>IF($B148="","",IF(V148+W148=0,"",V148/(V148+W148)))</f>
        <v>1.0</v>
      </c>
      <c r="Y148" s="17" t="str">
        <f>IF(X148="","",IF(X148&gt;=Setup!$C$7,"PASS","FAIL"))</f>
        <v>PASS</v>
      </c>
      <c r="Z148" s="17">
        <f>IF($B148="","",IF(W148=0,"",IF(COUNTIF(Findings!$B$6:$B$305,$A148)&gt;=W148,"OK","LOG FINDING")))</f>
        <v/>
      </c>
    </row>
    <row r="149" spans="1:26">
      <c r="A149" s="17" t="str">
        <f>IF($B149="","","A-1144")</f>
        <v>A-1144</v>
      </c>
      <c r="B149" s="24">
        <v>46240</v>
      </c>
      <c r="C149" s="23" t="s">
        <v>22</v>
      </c>
      <c r="D149" s="28" t="s">
        <v>14</v>
      </c>
      <c r="E149" s="23" t="s">
        <v>34</v>
      </c>
      <c r="F149" s="23" t="s">
        <v>43</v>
      </c>
      <c r="G149" s="28" t="s">
        <v>49</v>
      </c>
      <c r="H149" s="28" t="s">
        <v>49</v>
      </c>
      <c r="I149" s="28" t="s">
        <v>49</v>
      </c>
      <c r="J149" s="28" t="s">
        <v>49</v>
      </c>
      <c r="K149" s="28" t="s">
        <v>49</v>
      </c>
      <c r="L149" s="28" t="s">
        <v>49</v>
      </c>
      <c r="M149" s="28" t="s">
        <v>49</v>
      </c>
      <c r="N149" s="28" t="s">
        <v>49</v>
      </c>
      <c r="O149" s="28" t="s">
        <v>49</v>
      </c>
      <c r="P149" s="28" t="s">
        <v>49</v>
      </c>
      <c r="Q149" s="28" t="s">
        <v>49</v>
      </c>
      <c r="R149" s="28" t="s">
        <v>49</v>
      </c>
      <c r="S149" s="28" t="s">
        <v>49</v>
      </c>
      <c r="T149" s="28" t="s">
        <v>49</v>
      </c>
      <c r="U149" s="28" t="s">
        <v>49</v>
      </c>
      <c r="V149" s="17">
        <f>IF($B149="","",COUNTIF(G149:U149,"OK"))</f>
        <v>15.0</v>
      </c>
      <c r="W149" s="17">
        <f>IF($B149="","",COUNTIF(G149:U149,"NOK"))</f>
        <v>0.0</v>
      </c>
      <c r="X149" s="9">
        <f>IF($B149="","",IF(V149+W149=0,"",V149/(V149+W149)))</f>
        <v>1.0</v>
      </c>
      <c r="Y149" s="17" t="str">
        <f>IF(X149="","",IF(X149&gt;=Setup!$C$7,"PASS","FAIL"))</f>
        <v>PASS</v>
      </c>
      <c r="Z149" s="17">
        <f>IF($B149="","",IF(W149=0,"",IF(COUNTIF(Findings!$B$6:$B$305,$A149)&gt;=W149,"OK","LOG FINDING")))</f>
        <v/>
      </c>
    </row>
    <row r="150" spans="1:26">
      <c r="A150" s="17" t="str">
        <f>IF($B150="","","A-1145")</f>
        <v>A-1145</v>
      </c>
      <c r="B150" s="24">
        <v>46244</v>
      </c>
      <c r="C150" s="23" t="s">
        <v>24</v>
      </c>
      <c r="D150" s="28" t="s">
        <v>16</v>
      </c>
      <c r="E150" s="23" t="s">
        <v>35</v>
      </c>
      <c r="F150" s="23" t="s">
        <v>43</v>
      </c>
      <c r="G150" s="28" t="s">
        <v>49</v>
      </c>
      <c r="H150" s="28" t="s">
        <v>49</v>
      </c>
      <c r="I150" s="28" t="s">
        <v>49</v>
      </c>
      <c r="J150" s="28" t="s">
        <v>49</v>
      </c>
      <c r="K150" s="28" t="s">
        <v>49</v>
      </c>
      <c r="L150" s="28" t="s">
        <v>49</v>
      </c>
      <c r="M150" s="28" t="s">
        <v>49</v>
      </c>
      <c r="N150" s="28" t="s">
        <v>49</v>
      </c>
      <c r="O150" s="28" t="s">
        <v>49</v>
      </c>
      <c r="P150" s="28" t="s">
        <v>49</v>
      </c>
      <c r="Q150" s="28" t="s">
        <v>49</v>
      </c>
      <c r="R150" s="28" t="s">
        <v>49</v>
      </c>
      <c r="S150" s="28" t="s">
        <v>49</v>
      </c>
      <c r="T150" s="28" t="s">
        <v>49</v>
      </c>
      <c r="U150" s="28" t="s">
        <v>49</v>
      </c>
      <c r="V150" s="17">
        <f>IF($B150="","",COUNTIF(G150:U150,"OK"))</f>
        <v>15.0</v>
      </c>
      <c r="W150" s="17">
        <f>IF($B150="","",COUNTIF(G150:U150,"NOK"))</f>
        <v>0.0</v>
      </c>
      <c r="X150" s="9">
        <f>IF($B150="","",IF(V150+W150=0,"",V150/(V150+W150)))</f>
        <v>1.0</v>
      </c>
      <c r="Y150" s="17" t="str">
        <f>IF(X150="","",IF(X150&gt;=Setup!$C$7,"PASS","FAIL"))</f>
        <v>PASS</v>
      </c>
      <c r="Z150" s="17">
        <f>IF($B150="","",IF(W150=0,"",IF(COUNTIF(Findings!$B$6:$B$305,$A150)&gt;=W150,"OK","LOG FINDING")))</f>
        <v/>
      </c>
    </row>
    <row r="151" spans="1:26">
      <c r="A151" s="17" t="str">
        <f>IF($B151="","","A-1146")</f>
        <v>A-1146</v>
      </c>
      <c r="B151" s="24">
        <v>46245</v>
      </c>
      <c r="C151" s="23" t="s">
        <v>23</v>
      </c>
      <c r="D151" s="28" t="s">
        <v>14</v>
      </c>
      <c r="E151" s="23" t="s">
        <v>33</v>
      </c>
      <c r="F151" s="23" t="s">
        <v>44</v>
      </c>
      <c r="G151" s="28" t="s">
        <v>49</v>
      </c>
      <c r="H151" s="28" t="s">
        <v>49</v>
      </c>
      <c r="I151" s="28" t="s">
        <v>50</v>
      </c>
      <c r="J151" s="28" t="s">
        <v>49</v>
      </c>
      <c r="K151" s="28" t="s">
        <v>49</v>
      </c>
      <c r="L151" s="28" t="s">
        <v>50</v>
      </c>
      <c r="M151" s="28" t="s">
        <v>49</v>
      </c>
      <c r="N151" s="28" t="s">
        <v>49</v>
      </c>
      <c r="O151" s="28" t="s">
        <v>49</v>
      </c>
      <c r="P151" s="28" t="s">
        <v>49</v>
      </c>
      <c r="Q151" s="28" t="s">
        <v>49</v>
      </c>
      <c r="R151" s="28" t="s">
        <v>49</v>
      </c>
      <c r="S151" s="28" t="s">
        <v>49</v>
      </c>
      <c r="T151" s="28" t="s">
        <v>49</v>
      </c>
      <c r="U151" s="28" t="s">
        <v>49</v>
      </c>
      <c r="V151" s="17">
        <f>IF($B151="","",COUNTIF(G151:U151,"OK"))</f>
        <v>13.0</v>
      </c>
      <c r="W151" s="17">
        <f>IF($B151="","",COUNTIF(G151:U151,"NOK"))</f>
        <v>2.0</v>
      </c>
      <c r="X151" s="9">
        <f>IF($B151="","",IF(V151+W151=0,"",V151/(V151+W151)))</f>
        <v>0.8666666666666667</v>
      </c>
      <c r="Y151" s="17" t="str">
        <f>IF(X151="","",IF(X151&gt;=Setup!$C$7,"PASS","FAIL"))</f>
        <v>FAIL</v>
      </c>
      <c r="Z151" s="17" t="str">
        <f>IF($B151="","",IF(W151=0,"",IF(COUNTIF(Findings!$B$6:$B$305,$A151)&gt;=W151,"OK","LOG FINDING")))</f>
        <v>OK</v>
      </c>
    </row>
    <row r="152" spans="1:26">
      <c r="A152" s="17" t="str">
        <f>IF($B152="","","A-1147")</f>
        <v>A-1147</v>
      </c>
      <c r="B152" s="24">
        <v>46246</v>
      </c>
      <c r="C152" s="23" t="s">
        <v>22</v>
      </c>
      <c r="D152" s="28" t="s">
        <v>18</v>
      </c>
      <c r="E152" s="23" t="s">
        <v>38</v>
      </c>
      <c r="F152" s="23" t="s">
        <v>43</v>
      </c>
      <c r="G152" s="28" t="s">
        <v>49</v>
      </c>
      <c r="H152" s="28" t="s">
        <v>49</v>
      </c>
      <c r="I152" s="28" t="s">
        <v>49</v>
      </c>
      <c r="J152" s="28" t="s">
        <v>49</v>
      </c>
      <c r="K152" s="28" t="s">
        <v>49</v>
      </c>
      <c r="L152" s="28" t="s">
        <v>49</v>
      </c>
      <c r="M152" s="28" t="s">
        <v>49</v>
      </c>
      <c r="N152" s="28" t="s">
        <v>49</v>
      </c>
      <c r="O152" s="28" t="s">
        <v>49</v>
      </c>
      <c r="P152" s="28" t="s">
        <v>49</v>
      </c>
      <c r="Q152" s="28" t="s">
        <v>51</v>
      </c>
      <c r="R152" s="28" t="s">
        <v>49</v>
      </c>
      <c r="S152" s="28" t="s">
        <v>49</v>
      </c>
      <c r="T152" s="28" t="s">
        <v>49</v>
      </c>
      <c r="U152" s="28" t="s">
        <v>49</v>
      </c>
      <c r="V152" s="17">
        <f>IF($B152="","",COUNTIF(G152:U152,"OK"))</f>
        <v>14.0</v>
      </c>
      <c r="W152" s="17">
        <f>IF($B152="","",COUNTIF(G152:U152,"NOK"))</f>
        <v>0.0</v>
      </c>
      <c r="X152" s="9">
        <f>IF($B152="","",IF(V152+W152=0,"",V152/(V152+W152)))</f>
        <v>1.0</v>
      </c>
      <c r="Y152" s="17" t="str">
        <f>IF(X152="","",IF(X152&gt;=Setup!$C$7,"PASS","FAIL"))</f>
        <v>PASS</v>
      </c>
      <c r="Z152" s="17">
        <f>IF($B152="","",IF(W152=0,"",IF(COUNTIF(Findings!$B$6:$B$305,$A152)&gt;=W152,"OK","LOG FINDING")))</f>
        <v/>
      </c>
    </row>
    <row r="153" spans="1:26">
      <c r="A153" s="17" t="str">
        <f>IF($B153="","","A-1148")</f>
        <v>A-1148</v>
      </c>
      <c r="B153" s="24">
        <v>46248</v>
      </c>
      <c r="C153" s="23" t="s">
        <v>27</v>
      </c>
      <c r="D153" s="28" t="s">
        <v>14</v>
      </c>
      <c r="E153" s="23" t="s">
        <v>34</v>
      </c>
      <c r="F153" s="23" t="s">
        <v>43</v>
      </c>
      <c r="G153" s="28" t="s">
        <v>49</v>
      </c>
      <c r="H153" s="28" t="s">
        <v>49</v>
      </c>
      <c r="I153" s="28" t="s">
        <v>49</v>
      </c>
      <c r="J153" s="28" t="s">
        <v>49</v>
      </c>
      <c r="K153" s="28" t="s">
        <v>49</v>
      </c>
      <c r="L153" s="28" t="s">
        <v>49</v>
      </c>
      <c r="M153" s="28" t="s">
        <v>49</v>
      </c>
      <c r="N153" s="28" t="s">
        <v>49</v>
      </c>
      <c r="O153" s="28" t="s">
        <v>49</v>
      </c>
      <c r="P153" s="28" t="s">
        <v>49</v>
      </c>
      <c r="Q153" s="28" t="s">
        <v>49</v>
      </c>
      <c r="R153" s="28" t="s">
        <v>49</v>
      </c>
      <c r="S153" s="28" t="s">
        <v>49</v>
      </c>
      <c r="T153" s="28" t="s">
        <v>49</v>
      </c>
      <c r="U153" s="28" t="s">
        <v>49</v>
      </c>
      <c r="V153" s="17">
        <f>IF($B153="","",COUNTIF(G153:U153,"OK"))</f>
        <v>15.0</v>
      </c>
      <c r="W153" s="17">
        <f>IF($B153="","",COUNTIF(G153:U153,"NOK"))</f>
        <v>0.0</v>
      </c>
      <c r="X153" s="9">
        <f>IF($B153="","",IF(V153+W153=0,"",V153/(V153+W153)))</f>
        <v>1.0</v>
      </c>
      <c r="Y153" s="17" t="str">
        <f>IF(X153="","",IF(X153&gt;=Setup!$C$7,"PASS","FAIL"))</f>
        <v>PASS</v>
      </c>
      <c r="Z153" s="17">
        <f>IF($B153="","",IF(W153=0,"",IF(COUNTIF(Findings!$B$6:$B$305,$A153)&gt;=W153,"OK","LOG FINDING")))</f>
        <v/>
      </c>
    </row>
    <row r="154" spans="1:26">
      <c r="A154" s="17" t="str">
        <f>IF($B154="","","A-1149")</f>
        <v>A-1149</v>
      </c>
      <c r="B154" s="24">
        <v>46252</v>
      </c>
      <c r="C154" s="23" t="s">
        <v>25</v>
      </c>
      <c r="D154" s="28" t="s">
        <v>14</v>
      </c>
      <c r="E154" s="23" t="s">
        <v>32</v>
      </c>
      <c r="F154" s="23" t="s">
        <v>43</v>
      </c>
      <c r="G154" s="28" t="s">
        <v>49</v>
      </c>
      <c r="H154" s="28" t="s">
        <v>49</v>
      </c>
      <c r="I154" s="28" t="s">
        <v>49</v>
      </c>
      <c r="J154" s="28" t="s">
        <v>49</v>
      </c>
      <c r="K154" s="28" t="s">
        <v>49</v>
      </c>
      <c r="L154" s="28" t="s">
        <v>49</v>
      </c>
      <c r="M154" s="28" t="s">
        <v>49</v>
      </c>
      <c r="N154" s="28" t="s">
        <v>49</v>
      </c>
      <c r="O154" s="28" t="s">
        <v>49</v>
      </c>
      <c r="P154" s="28" t="s">
        <v>49</v>
      </c>
      <c r="Q154" s="28" t="s">
        <v>49</v>
      </c>
      <c r="R154" s="28" t="s">
        <v>49</v>
      </c>
      <c r="S154" s="28" t="s">
        <v>49</v>
      </c>
      <c r="T154" s="28" t="s">
        <v>49</v>
      </c>
      <c r="U154" s="28" t="s">
        <v>49</v>
      </c>
      <c r="V154" s="17">
        <f>IF($B154="","",COUNTIF(G154:U154,"OK"))</f>
        <v>15.0</v>
      </c>
      <c r="W154" s="17">
        <f>IF($B154="","",COUNTIF(G154:U154,"NOK"))</f>
        <v>0.0</v>
      </c>
      <c r="X154" s="9">
        <f>IF($B154="","",IF(V154+W154=0,"",V154/(V154+W154)))</f>
        <v>1.0</v>
      </c>
      <c r="Y154" s="17" t="str">
        <f>IF(X154="","",IF(X154&gt;=Setup!$C$7,"PASS","FAIL"))</f>
        <v>PASS</v>
      </c>
      <c r="Z154" s="17">
        <f>IF($B154="","",IF(W154=0,"",IF(COUNTIF(Findings!$B$6:$B$305,$A154)&gt;=W154,"OK","LOG FINDING")))</f>
        <v/>
      </c>
    </row>
    <row r="155" spans="1:26">
      <c r="A155" s="17" t="str">
        <f>IF($B155="","","A-1150")</f>
        <v>A-1150</v>
      </c>
      <c r="B155" s="24">
        <v>46253</v>
      </c>
      <c r="C155" s="23" t="s">
        <v>25</v>
      </c>
      <c r="D155" s="28" t="s">
        <v>14</v>
      </c>
      <c r="E155" s="23" t="s">
        <v>34</v>
      </c>
      <c r="F155" s="23" t="s">
        <v>43</v>
      </c>
      <c r="G155" s="28" t="s">
        <v>49</v>
      </c>
      <c r="H155" s="28" t="s">
        <v>49</v>
      </c>
      <c r="I155" s="28" t="s">
        <v>50</v>
      </c>
      <c r="J155" s="28" t="s">
        <v>49</v>
      </c>
      <c r="K155" s="28" t="s">
        <v>49</v>
      </c>
      <c r="L155" s="28" t="s">
        <v>50</v>
      </c>
      <c r="M155" s="28" t="s">
        <v>50</v>
      </c>
      <c r="N155" s="28" t="s">
        <v>49</v>
      </c>
      <c r="O155" s="28" t="s">
        <v>49</v>
      </c>
      <c r="P155" s="28" t="s">
        <v>49</v>
      </c>
      <c r="Q155" s="28" t="s">
        <v>49</v>
      </c>
      <c r="R155" s="28" t="s">
        <v>49</v>
      </c>
      <c r="S155" s="28" t="s">
        <v>49</v>
      </c>
      <c r="T155" s="28" t="s">
        <v>49</v>
      </c>
      <c r="U155" s="28" t="s">
        <v>49</v>
      </c>
      <c r="V155" s="17">
        <f>IF($B155="","",COUNTIF(G155:U155,"OK"))</f>
        <v>12.0</v>
      </c>
      <c r="W155" s="17">
        <f>IF($B155="","",COUNTIF(G155:U155,"NOK"))</f>
        <v>3.0</v>
      </c>
      <c r="X155" s="9">
        <f>IF($B155="","",IF(V155+W155=0,"",V155/(V155+W155)))</f>
        <v>0.8</v>
      </c>
      <c r="Y155" s="17" t="str">
        <f>IF(X155="","",IF(X155&gt;=Setup!$C$7,"PASS","FAIL"))</f>
        <v>FAIL</v>
      </c>
      <c r="Z155" s="17" t="str">
        <f>IF($B155="","",IF(W155=0,"",IF(COUNTIF(Findings!$B$6:$B$305,$A155)&gt;=W155,"OK","LOG FINDING")))</f>
        <v>OK</v>
      </c>
    </row>
    <row r="156" spans="1:26">
      <c r="A156" s="17" t="str">
        <f>IF($B156="","","A-1151")</f>
        <v>A-1151</v>
      </c>
      <c r="B156" s="24">
        <v>46254</v>
      </c>
      <c r="C156" s="23" t="s">
        <v>24</v>
      </c>
      <c r="D156" s="28" t="s">
        <v>18</v>
      </c>
      <c r="E156" s="23" t="s">
        <v>38</v>
      </c>
      <c r="F156" s="23" t="s">
        <v>43</v>
      </c>
      <c r="G156" s="28" t="s">
        <v>50</v>
      </c>
      <c r="H156" s="28" t="s">
        <v>49</v>
      </c>
      <c r="I156" s="28" t="s">
        <v>49</v>
      </c>
      <c r="J156" s="28" t="s">
        <v>49</v>
      </c>
      <c r="K156" s="28" t="s">
        <v>49</v>
      </c>
      <c r="L156" s="28" t="s">
        <v>49</v>
      </c>
      <c r="M156" s="28" t="s">
        <v>49</v>
      </c>
      <c r="N156" s="28" t="s">
        <v>49</v>
      </c>
      <c r="O156" s="28" t="s">
        <v>49</v>
      </c>
      <c r="P156" s="28" t="s">
        <v>49</v>
      </c>
      <c r="Q156" s="28" t="s">
        <v>51</v>
      </c>
      <c r="R156" s="28" t="s">
        <v>49</v>
      </c>
      <c r="S156" s="28" t="s">
        <v>49</v>
      </c>
      <c r="T156" s="28" t="s">
        <v>49</v>
      </c>
      <c r="U156" s="28" t="s">
        <v>49</v>
      </c>
      <c r="V156" s="17">
        <f>IF($B156="","",COUNTIF(G156:U156,"OK"))</f>
        <v>13.0</v>
      </c>
      <c r="W156" s="17">
        <f>IF($B156="","",COUNTIF(G156:U156,"NOK"))</f>
        <v>1.0</v>
      </c>
      <c r="X156" s="9">
        <f>IF($B156="","",IF(V156+W156=0,"",V156/(V156+W156)))</f>
        <v>0.9285714285714286</v>
      </c>
      <c r="Y156" s="17" t="str">
        <f>IF(X156="","",IF(X156&gt;=Setup!$C$7,"PASS","FAIL"))</f>
        <v>FAIL</v>
      </c>
      <c r="Z156" s="17" t="str">
        <f>IF($B156="","",IF(W156=0,"",IF(COUNTIF(Findings!$B$6:$B$305,$A156)&gt;=W156,"OK","LOG FINDING")))</f>
        <v>OK</v>
      </c>
    </row>
    <row r="157" spans="1:26">
      <c r="A157" s="17" t="str">
        <f>IF($B157="","","A-1152")</f>
        <v>A-1152</v>
      </c>
      <c r="B157" s="24">
        <v>46254</v>
      </c>
      <c r="C157" s="23" t="s">
        <v>23</v>
      </c>
      <c r="D157" s="28" t="s">
        <v>16</v>
      </c>
      <c r="E157" s="23" t="s">
        <v>35</v>
      </c>
      <c r="F157" s="23" t="s">
        <v>44</v>
      </c>
      <c r="G157" s="28" t="s">
        <v>49</v>
      </c>
      <c r="H157" s="28" t="s">
        <v>49</v>
      </c>
      <c r="I157" s="28" t="s">
        <v>49</v>
      </c>
      <c r="J157" s="28" t="s">
        <v>51</v>
      </c>
      <c r="K157" s="28" t="s">
        <v>49</v>
      </c>
      <c r="L157" s="28" t="s">
        <v>49</v>
      </c>
      <c r="M157" s="28" t="s">
        <v>49</v>
      </c>
      <c r="N157" s="28" t="s">
        <v>49</v>
      </c>
      <c r="O157" s="28" t="s">
        <v>49</v>
      </c>
      <c r="P157" s="28" t="s">
        <v>49</v>
      </c>
      <c r="Q157" s="28" t="s">
        <v>49</v>
      </c>
      <c r="R157" s="28" t="s">
        <v>49</v>
      </c>
      <c r="S157" s="28" t="s">
        <v>49</v>
      </c>
      <c r="T157" s="28" t="s">
        <v>49</v>
      </c>
      <c r="U157" s="28" t="s">
        <v>49</v>
      </c>
      <c r="V157" s="17">
        <f>IF($B157="","",COUNTIF(G157:U157,"OK"))</f>
        <v>14.0</v>
      </c>
      <c r="W157" s="17">
        <f>IF($B157="","",COUNTIF(G157:U157,"NOK"))</f>
        <v>0.0</v>
      </c>
      <c r="X157" s="9">
        <f>IF($B157="","",IF(V157+W157=0,"",V157/(V157+W157)))</f>
        <v>1.0</v>
      </c>
      <c r="Y157" s="17" t="str">
        <f>IF(X157="","",IF(X157&gt;=Setup!$C$7,"PASS","FAIL"))</f>
        <v>PASS</v>
      </c>
      <c r="Z157" s="17">
        <f>IF($B157="","",IF(W157=0,"",IF(COUNTIF(Findings!$B$6:$B$305,$A157)&gt;=W157,"OK","LOG FINDING")))</f>
        <v/>
      </c>
    </row>
    <row r="158" spans="1:26">
      <c r="A158" s="17" t="str">
        <f>IF($B158="","","A-1153")</f>
        <v>A-1153</v>
      </c>
      <c r="B158" s="24">
        <v>46254</v>
      </c>
      <c r="C158" s="23" t="s">
        <v>26</v>
      </c>
      <c r="D158" s="28" t="s">
        <v>18</v>
      </c>
      <c r="E158" s="23" t="s">
        <v>38</v>
      </c>
      <c r="F158" s="23" t="s">
        <v>43</v>
      </c>
      <c r="G158" s="28" t="s">
        <v>49</v>
      </c>
      <c r="H158" s="28" t="s">
        <v>49</v>
      </c>
      <c r="I158" s="28" t="s">
        <v>49</v>
      </c>
      <c r="J158" s="28" t="s">
        <v>49</v>
      </c>
      <c r="K158" s="28" t="s">
        <v>49</v>
      </c>
      <c r="L158" s="28" t="s">
        <v>49</v>
      </c>
      <c r="M158" s="28" t="s">
        <v>49</v>
      </c>
      <c r="N158" s="28" t="s">
        <v>49</v>
      </c>
      <c r="O158" s="28" t="s">
        <v>49</v>
      </c>
      <c r="P158" s="28" t="s">
        <v>49</v>
      </c>
      <c r="Q158" s="28" t="s">
        <v>49</v>
      </c>
      <c r="R158" s="28" t="s">
        <v>49</v>
      </c>
      <c r="S158" s="28" t="s">
        <v>49</v>
      </c>
      <c r="T158" s="28" t="s">
        <v>49</v>
      </c>
      <c r="U158" s="28" t="s">
        <v>49</v>
      </c>
      <c r="V158" s="17">
        <f>IF($B158="","",COUNTIF(G158:U158,"OK"))</f>
        <v>15.0</v>
      </c>
      <c r="W158" s="17">
        <f>IF($B158="","",COUNTIF(G158:U158,"NOK"))</f>
        <v>0.0</v>
      </c>
      <c r="X158" s="9">
        <f>IF($B158="","",IF(V158+W158=0,"",V158/(V158+W158)))</f>
        <v>1.0</v>
      </c>
      <c r="Y158" s="17" t="str">
        <f>IF(X158="","",IF(X158&gt;=Setup!$C$7,"PASS","FAIL"))</f>
        <v>PASS</v>
      </c>
      <c r="Z158" s="17">
        <f>IF($B158="","",IF(W158=0,"",IF(COUNTIF(Findings!$B$6:$B$305,$A158)&gt;=W158,"OK","LOG FINDING")))</f>
        <v/>
      </c>
    </row>
    <row r="159" spans="1:26">
      <c r="A159" s="17" t="str">
        <f>IF($B159="","","A-1154")</f>
        <v>A-1154</v>
      </c>
      <c r="B159" s="24">
        <v>46254</v>
      </c>
      <c r="C159" s="23" t="s">
        <v>22</v>
      </c>
      <c r="D159" s="28" t="s">
        <v>14</v>
      </c>
      <c r="E159" s="23" t="s">
        <v>33</v>
      </c>
      <c r="F159" s="23" t="s">
        <v>44</v>
      </c>
      <c r="G159" s="28" t="s">
        <v>49</v>
      </c>
      <c r="H159" s="28" t="s">
        <v>49</v>
      </c>
      <c r="I159" s="28" t="s">
        <v>49</v>
      </c>
      <c r="J159" s="28" t="s">
        <v>51</v>
      </c>
      <c r="K159" s="28" t="s">
        <v>49</v>
      </c>
      <c r="L159" s="28" t="s">
        <v>49</v>
      </c>
      <c r="M159" s="28" t="s">
        <v>49</v>
      </c>
      <c r="N159" s="28" t="s">
        <v>49</v>
      </c>
      <c r="O159" s="28" t="s">
        <v>49</v>
      </c>
      <c r="P159" s="28" t="s">
        <v>49</v>
      </c>
      <c r="Q159" s="28" t="s">
        <v>49</v>
      </c>
      <c r="R159" s="28" t="s">
        <v>49</v>
      </c>
      <c r="S159" s="28" t="s">
        <v>49</v>
      </c>
      <c r="T159" s="28" t="s">
        <v>49</v>
      </c>
      <c r="U159" s="28" t="s">
        <v>49</v>
      </c>
      <c r="V159" s="17">
        <f>IF($B159="","",COUNTIF(G159:U159,"OK"))</f>
        <v>14.0</v>
      </c>
      <c r="W159" s="17">
        <f>IF($B159="","",COUNTIF(G159:U159,"NOK"))</f>
        <v>0.0</v>
      </c>
      <c r="X159" s="9">
        <f>IF($B159="","",IF(V159+W159=0,"",V159/(V159+W159)))</f>
        <v>1.0</v>
      </c>
      <c r="Y159" s="17" t="str">
        <f>IF(X159="","",IF(X159&gt;=Setup!$C$7,"PASS","FAIL"))</f>
        <v>PASS</v>
      </c>
      <c r="Z159" s="17">
        <f>IF($B159="","",IF(W159=0,"",IF(COUNTIF(Findings!$B$6:$B$305,$A159)&gt;=W159,"OK","LOG FINDING")))</f>
        <v/>
      </c>
    </row>
    <row r="160" spans="1:26">
      <c r="A160" s="17" t="str">
        <f>IF($B160="","","A-1155")</f>
        <v>A-1155</v>
      </c>
      <c r="B160" s="24">
        <v>46255</v>
      </c>
      <c r="C160" s="23" t="s">
        <v>24</v>
      </c>
      <c r="D160" s="28" t="s">
        <v>14</v>
      </c>
      <c r="E160" s="23" t="s">
        <v>32</v>
      </c>
      <c r="F160" s="23" t="s">
        <v>44</v>
      </c>
      <c r="G160" s="28" t="s">
        <v>49</v>
      </c>
      <c r="H160" s="28" t="s">
        <v>49</v>
      </c>
      <c r="I160" s="28" t="s">
        <v>49</v>
      </c>
      <c r="J160" s="28" t="s">
        <v>49</v>
      </c>
      <c r="K160" s="28" t="s">
        <v>49</v>
      </c>
      <c r="L160" s="28" t="s">
        <v>49</v>
      </c>
      <c r="M160" s="28" t="s">
        <v>49</v>
      </c>
      <c r="N160" s="28" t="s">
        <v>49</v>
      </c>
      <c r="O160" s="28" t="s">
        <v>49</v>
      </c>
      <c r="P160" s="28" t="s">
        <v>49</v>
      </c>
      <c r="Q160" s="28" t="s">
        <v>49</v>
      </c>
      <c r="R160" s="28" t="s">
        <v>49</v>
      </c>
      <c r="S160" s="28" t="s">
        <v>49</v>
      </c>
      <c r="T160" s="28" t="s">
        <v>49</v>
      </c>
      <c r="U160" s="28" t="s">
        <v>49</v>
      </c>
      <c r="V160" s="17">
        <f>IF($B160="","",COUNTIF(G160:U160,"OK"))</f>
        <v>15.0</v>
      </c>
      <c r="W160" s="17">
        <f>IF($B160="","",COUNTIF(G160:U160,"NOK"))</f>
        <v>0.0</v>
      </c>
      <c r="X160" s="9">
        <f>IF($B160="","",IF(V160+W160=0,"",V160/(V160+W160)))</f>
        <v>1.0</v>
      </c>
      <c r="Y160" s="17" t="str">
        <f>IF(X160="","",IF(X160&gt;=Setup!$C$7,"PASS","FAIL"))</f>
        <v>PASS</v>
      </c>
      <c r="Z160" s="17">
        <f>IF($B160="","",IF(W160=0,"",IF(COUNTIF(Findings!$B$6:$B$305,$A160)&gt;=W160,"OK","LOG FINDING")))</f>
        <v/>
      </c>
    </row>
    <row r="161" spans="1:26">
      <c r="A161" s="17" t="str">
        <f>IF($B161="","","A-1156")</f>
        <v>A-1156</v>
      </c>
      <c r="B161" s="24">
        <v>46255</v>
      </c>
      <c r="C161" s="23" t="s">
        <v>23</v>
      </c>
      <c r="D161" s="28" t="s">
        <v>14</v>
      </c>
      <c r="E161" s="23" t="s">
        <v>32</v>
      </c>
      <c r="F161" s="23" t="s">
        <v>43</v>
      </c>
      <c r="G161" s="28" t="s">
        <v>49</v>
      </c>
      <c r="H161" s="28" t="s">
        <v>49</v>
      </c>
      <c r="I161" s="28" t="s">
        <v>50</v>
      </c>
      <c r="J161" s="28" t="s">
        <v>49</v>
      </c>
      <c r="K161" s="28" t="s">
        <v>49</v>
      </c>
      <c r="L161" s="28" t="s">
        <v>49</v>
      </c>
      <c r="M161" s="28" t="s">
        <v>49</v>
      </c>
      <c r="N161" s="28" t="s">
        <v>49</v>
      </c>
      <c r="O161" s="28" t="s">
        <v>49</v>
      </c>
      <c r="P161" s="28" t="s">
        <v>49</v>
      </c>
      <c r="Q161" s="28" t="s">
        <v>49</v>
      </c>
      <c r="R161" s="28" t="s">
        <v>49</v>
      </c>
      <c r="S161" s="28" t="s">
        <v>49</v>
      </c>
      <c r="T161" s="28" t="s">
        <v>49</v>
      </c>
      <c r="U161" s="28" t="s">
        <v>49</v>
      </c>
      <c r="V161" s="17">
        <f>IF($B161="","",COUNTIF(G161:U161,"OK"))</f>
        <v>14.0</v>
      </c>
      <c r="W161" s="17">
        <f>IF($B161="","",COUNTIF(G161:U161,"NOK"))</f>
        <v>1.0</v>
      </c>
      <c r="X161" s="9">
        <f>IF($B161="","",IF(V161+W161=0,"",V161/(V161+W161)))</f>
        <v>0.9333333333333333</v>
      </c>
      <c r="Y161" s="17" t="str">
        <f>IF(X161="","",IF(X161&gt;=Setup!$C$7,"PASS","FAIL"))</f>
        <v>FAIL</v>
      </c>
      <c r="Z161" s="17" t="str">
        <f>IF($B161="","",IF(W161=0,"",IF(COUNTIF(Findings!$B$6:$B$305,$A161)&gt;=W161,"OK","LOG FINDING")))</f>
        <v>OK</v>
      </c>
    </row>
    <row r="162" spans="1:26">
      <c r="A162" s="17" t="str">
        <f>IF($B162="","","A-1157")</f>
        <v>A-1157</v>
      </c>
      <c r="B162" s="24">
        <v>46260</v>
      </c>
      <c r="C162" s="23" t="s">
        <v>24</v>
      </c>
      <c r="D162" s="28" t="s">
        <v>14</v>
      </c>
      <c r="E162" s="23" t="s">
        <v>33</v>
      </c>
      <c r="F162" s="23" t="s">
        <v>44</v>
      </c>
      <c r="G162" s="28" t="s">
        <v>49</v>
      </c>
      <c r="H162" s="28" t="s">
        <v>49</v>
      </c>
      <c r="I162" s="28" t="s">
        <v>49</v>
      </c>
      <c r="J162" s="28" t="s">
        <v>51</v>
      </c>
      <c r="K162" s="28" t="s">
        <v>49</v>
      </c>
      <c r="L162" s="28" t="s">
        <v>49</v>
      </c>
      <c r="M162" s="28" t="s">
        <v>49</v>
      </c>
      <c r="N162" s="28" t="s">
        <v>49</v>
      </c>
      <c r="O162" s="28" t="s">
        <v>49</v>
      </c>
      <c r="P162" s="28" t="s">
        <v>49</v>
      </c>
      <c r="Q162" s="28" t="s">
        <v>49</v>
      </c>
      <c r="R162" s="28" t="s">
        <v>49</v>
      </c>
      <c r="S162" s="28" t="s">
        <v>49</v>
      </c>
      <c r="T162" s="28" t="s">
        <v>49</v>
      </c>
      <c r="U162" s="28" t="s">
        <v>49</v>
      </c>
      <c r="V162" s="17">
        <f>IF($B162="","",COUNTIF(G162:U162,"OK"))</f>
        <v>14.0</v>
      </c>
      <c r="W162" s="17">
        <f>IF($B162="","",COUNTIF(G162:U162,"NOK"))</f>
        <v>0.0</v>
      </c>
      <c r="X162" s="9">
        <f>IF($B162="","",IF(V162+W162=0,"",V162/(V162+W162)))</f>
        <v>1.0</v>
      </c>
      <c r="Y162" s="17" t="str">
        <f>IF(X162="","",IF(X162&gt;=Setup!$C$7,"PASS","FAIL"))</f>
        <v>PASS</v>
      </c>
      <c r="Z162" s="17">
        <f>IF($B162="","",IF(W162=0,"",IF(COUNTIF(Findings!$B$6:$B$305,$A162)&gt;=W162,"OK","LOG FINDING")))</f>
        <v/>
      </c>
    </row>
    <row r="163" spans="1:26">
      <c r="A163" s="17" t="str">
        <f>IF($B163="","","A-1158")</f>
        <v>A-1158</v>
      </c>
      <c r="B163" s="24">
        <v>46260</v>
      </c>
      <c r="C163" s="23" t="s">
        <v>26</v>
      </c>
      <c r="D163" s="28" t="s">
        <v>14</v>
      </c>
      <c r="E163" s="23" t="s">
        <v>33</v>
      </c>
      <c r="F163" s="23" t="s">
        <v>44</v>
      </c>
      <c r="G163" s="28" t="s">
        <v>49</v>
      </c>
      <c r="H163" s="28" t="s">
        <v>49</v>
      </c>
      <c r="I163" s="28" t="s">
        <v>49</v>
      </c>
      <c r="J163" s="28" t="s">
        <v>49</v>
      </c>
      <c r="K163" s="28" t="s">
        <v>49</v>
      </c>
      <c r="L163" s="28" t="s">
        <v>49</v>
      </c>
      <c r="M163" s="28" t="s">
        <v>49</v>
      </c>
      <c r="N163" s="28" t="s">
        <v>49</v>
      </c>
      <c r="O163" s="28" t="s">
        <v>49</v>
      </c>
      <c r="P163" s="28" t="s">
        <v>49</v>
      </c>
      <c r="Q163" s="28" t="s">
        <v>49</v>
      </c>
      <c r="R163" s="28" t="s">
        <v>49</v>
      </c>
      <c r="S163" s="28" t="s">
        <v>49</v>
      </c>
      <c r="T163" s="28" t="s">
        <v>49</v>
      </c>
      <c r="U163" s="28" t="s">
        <v>49</v>
      </c>
      <c r="V163" s="17">
        <f>IF($B163="","",COUNTIF(G163:U163,"OK"))</f>
        <v>15.0</v>
      </c>
      <c r="W163" s="17">
        <f>IF($B163="","",COUNTIF(G163:U163,"NOK"))</f>
        <v>0.0</v>
      </c>
      <c r="X163" s="9">
        <f>IF($B163="","",IF(V163+W163=0,"",V163/(V163+W163)))</f>
        <v>1.0</v>
      </c>
      <c r="Y163" s="17" t="str">
        <f>IF(X163="","",IF(X163&gt;=Setup!$C$7,"PASS","FAIL"))</f>
        <v>PASS</v>
      </c>
      <c r="Z163" s="17">
        <f>IF($B163="","",IF(W163=0,"",IF(COUNTIF(Findings!$B$6:$B$305,$A163)&gt;=W163,"OK","LOG FINDING")))</f>
        <v/>
      </c>
    </row>
    <row r="164" spans="1:26">
      <c r="A164" s="17" t="str">
        <f>IF($B164="","","A-1159")</f>
        <v>A-1159</v>
      </c>
      <c r="B164" s="24">
        <v>46262</v>
      </c>
      <c r="C164" s="23" t="s">
        <v>27</v>
      </c>
      <c r="D164" s="28" t="s">
        <v>14</v>
      </c>
      <c r="E164" s="23" t="s">
        <v>33</v>
      </c>
      <c r="F164" s="23" t="s">
        <v>44</v>
      </c>
      <c r="G164" s="28" t="s">
        <v>49</v>
      </c>
      <c r="H164" s="28" t="s">
        <v>50</v>
      </c>
      <c r="I164" s="28" t="s">
        <v>49</v>
      </c>
      <c r="J164" s="28" t="s">
        <v>49</v>
      </c>
      <c r="K164" s="28" t="s">
        <v>49</v>
      </c>
      <c r="L164" s="28" t="s">
        <v>49</v>
      </c>
      <c r="M164" s="28" t="s">
        <v>49</v>
      </c>
      <c r="N164" s="28" t="s">
        <v>49</v>
      </c>
      <c r="O164" s="28" t="s">
        <v>49</v>
      </c>
      <c r="P164" s="28" t="s">
        <v>49</v>
      </c>
      <c r="Q164" s="28" t="s">
        <v>51</v>
      </c>
      <c r="R164" s="28" t="s">
        <v>49</v>
      </c>
      <c r="S164" s="28" t="s">
        <v>49</v>
      </c>
      <c r="T164" s="28" t="s">
        <v>49</v>
      </c>
      <c r="U164" s="28" t="s">
        <v>49</v>
      </c>
      <c r="V164" s="17">
        <f>IF($B164="","",COUNTIF(G164:U164,"OK"))</f>
        <v>13.0</v>
      </c>
      <c r="W164" s="17">
        <f>IF($B164="","",COUNTIF(G164:U164,"NOK"))</f>
        <v>1.0</v>
      </c>
      <c r="X164" s="9">
        <f>IF($B164="","",IF(V164+W164=0,"",V164/(V164+W164)))</f>
        <v>0.9285714285714286</v>
      </c>
      <c r="Y164" s="17" t="str">
        <f>IF(X164="","",IF(X164&gt;=Setup!$C$7,"PASS","FAIL"))</f>
        <v>FAIL</v>
      </c>
      <c r="Z164" s="17" t="str">
        <f>IF($B164="","",IF(W164=0,"",IF(COUNTIF(Findings!$B$6:$B$305,$A164)&gt;=W164,"OK","LOG FINDING")))</f>
        <v>OK</v>
      </c>
    </row>
    <row r="165" spans="1:26">
      <c r="A165" s="17" t="str">
        <f>IF($B165="","","A-1160")</f>
        <v>A-1160</v>
      </c>
      <c r="B165" s="24">
        <v>46268</v>
      </c>
      <c r="C165" s="23" t="s">
        <v>27</v>
      </c>
      <c r="D165" s="28" t="s">
        <v>14</v>
      </c>
      <c r="E165" s="23" t="s">
        <v>33</v>
      </c>
      <c r="F165" s="23" t="s">
        <v>43</v>
      </c>
      <c r="G165" s="28" t="s">
        <v>49</v>
      </c>
      <c r="H165" s="28" t="s">
        <v>49</v>
      </c>
      <c r="I165" s="28" t="s">
        <v>49</v>
      </c>
      <c r="J165" s="28" t="s">
        <v>49</v>
      </c>
      <c r="K165" s="28" t="s">
        <v>49</v>
      </c>
      <c r="L165" s="28" t="s">
        <v>49</v>
      </c>
      <c r="M165" s="28" t="s">
        <v>49</v>
      </c>
      <c r="N165" s="28" t="s">
        <v>50</v>
      </c>
      <c r="O165" s="28" t="s">
        <v>49</v>
      </c>
      <c r="P165" s="28" t="s">
        <v>49</v>
      </c>
      <c r="Q165" s="28" t="s">
        <v>49</v>
      </c>
      <c r="R165" s="28" t="s">
        <v>49</v>
      </c>
      <c r="S165" s="28" t="s">
        <v>49</v>
      </c>
      <c r="T165" s="28" t="s">
        <v>49</v>
      </c>
      <c r="U165" s="28" t="s">
        <v>49</v>
      </c>
      <c r="V165" s="17">
        <f>IF($B165="","",COUNTIF(G165:U165,"OK"))</f>
        <v>14.0</v>
      </c>
      <c r="W165" s="17">
        <f>IF($B165="","",COUNTIF(G165:U165,"NOK"))</f>
        <v>1.0</v>
      </c>
      <c r="X165" s="9">
        <f>IF($B165="","",IF(V165+W165=0,"",V165/(V165+W165)))</f>
        <v>0.9333333333333333</v>
      </c>
      <c r="Y165" s="17" t="str">
        <f>IF(X165="","",IF(X165&gt;=Setup!$C$7,"PASS","FAIL"))</f>
        <v>FAIL</v>
      </c>
      <c r="Z165" s="17" t="str">
        <f>IF($B165="","",IF(W165=0,"",IF(COUNTIF(Findings!$B$6:$B$305,$A165)&gt;=W165,"OK","LOG FINDING")))</f>
        <v>OK</v>
      </c>
    </row>
    <row r="166" spans="1:26">
      <c r="A166" s="17" t="str">
        <f>IF($B166="","","A-1161")</f>
        <v>A-1161</v>
      </c>
      <c r="B166" s="24">
        <v>46269</v>
      </c>
      <c r="C166" s="23" t="s">
        <v>26</v>
      </c>
      <c r="D166" s="28" t="s">
        <v>16</v>
      </c>
      <c r="E166" s="23" t="s">
        <v>35</v>
      </c>
      <c r="F166" s="23" t="s">
        <v>43</v>
      </c>
      <c r="G166" s="28" t="s">
        <v>49</v>
      </c>
      <c r="H166" s="28" t="s">
        <v>49</v>
      </c>
      <c r="I166" s="28" t="s">
        <v>49</v>
      </c>
      <c r="J166" s="28" t="s">
        <v>51</v>
      </c>
      <c r="K166" s="28" t="s">
        <v>49</v>
      </c>
      <c r="L166" s="28" t="s">
        <v>49</v>
      </c>
      <c r="M166" s="28" t="s">
        <v>49</v>
      </c>
      <c r="N166" s="28" t="s">
        <v>49</v>
      </c>
      <c r="O166" s="28" t="s">
        <v>49</v>
      </c>
      <c r="P166" s="28" t="s">
        <v>49</v>
      </c>
      <c r="Q166" s="28" t="s">
        <v>49</v>
      </c>
      <c r="R166" s="28" t="s">
        <v>49</v>
      </c>
      <c r="S166" s="28" t="s">
        <v>49</v>
      </c>
      <c r="T166" s="28" t="s">
        <v>49</v>
      </c>
      <c r="U166" s="28" t="s">
        <v>49</v>
      </c>
      <c r="V166" s="17">
        <f>IF($B166="","",COUNTIF(G166:U166,"OK"))</f>
        <v>14.0</v>
      </c>
      <c r="W166" s="17">
        <f>IF($B166="","",COUNTIF(G166:U166,"NOK"))</f>
        <v>0.0</v>
      </c>
      <c r="X166" s="9">
        <f>IF($B166="","",IF(V166+W166=0,"",V166/(V166+W166)))</f>
        <v>1.0</v>
      </c>
      <c r="Y166" s="17" t="str">
        <f>IF(X166="","",IF(X166&gt;=Setup!$C$7,"PASS","FAIL"))</f>
        <v>PASS</v>
      </c>
      <c r="Z166" s="17">
        <f>IF($B166="","",IF(W166=0,"",IF(COUNTIF(Findings!$B$6:$B$305,$A166)&gt;=W166,"OK","LOG FINDING")))</f>
        <v/>
      </c>
    </row>
    <row r="167" spans="1:26">
      <c r="A167" s="17" t="str">
        <f>IF($B167="","","A-1162")</f>
        <v>A-1162</v>
      </c>
      <c r="B167" s="24">
        <v>46273</v>
      </c>
      <c r="C167" s="23" t="s">
        <v>23</v>
      </c>
      <c r="D167" s="28" t="s">
        <v>14</v>
      </c>
      <c r="E167" s="23" t="s">
        <v>32</v>
      </c>
      <c r="F167" s="23" t="s">
        <v>43</v>
      </c>
      <c r="G167" s="28" t="s">
        <v>49</v>
      </c>
      <c r="H167" s="28" t="s">
        <v>50</v>
      </c>
      <c r="I167" s="28" t="s">
        <v>49</v>
      </c>
      <c r="J167" s="28" t="s">
        <v>49</v>
      </c>
      <c r="K167" s="28" t="s">
        <v>49</v>
      </c>
      <c r="L167" s="28" t="s">
        <v>49</v>
      </c>
      <c r="M167" s="28" t="s">
        <v>49</v>
      </c>
      <c r="N167" s="28" t="s">
        <v>49</v>
      </c>
      <c r="O167" s="28" t="s">
        <v>49</v>
      </c>
      <c r="P167" s="28" t="s">
        <v>49</v>
      </c>
      <c r="Q167" s="28" t="s">
        <v>49</v>
      </c>
      <c r="R167" s="28" t="s">
        <v>49</v>
      </c>
      <c r="S167" s="28" t="s">
        <v>49</v>
      </c>
      <c r="T167" s="28" t="s">
        <v>49</v>
      </c>
      <c r="U167" s="28" t="s">
        <v>49</v>
      </c>
      <c r="V167" s="17">
        <f>IF($B167="","",COUNTIF(G167:U167,"OK"))</f>
        <v>14.0</v>
      </c>
      <c r="W167" s="17">
        <f>IF($B167="","",COUNTIF(G167:U167,"NOK"))</f>
        <v>1.0</v>
      </c>
      <c r="X167" s="9">
        <f>IF($B167="","",IF(V167+W167=0,"",V167/(V167+W167)))</f>
        <v>0.9333333333333333</v>
      </c>
      <c r="Y167" s="17" t="str">
        <f>IF(X167="","",IF(X167&gt;=Setup!$C$7,"PASS","FAIL"))</f>
        <v>FAIL</v>
      </c>
      <c r="Z167" s="17" t="str">
        <f>IF($B167="","",IF(W167=0,"",IF(COUNTIF(Findings!$B$6:$B$305,$A167)&gt;=W167,"OK","LOG FINDING")))</f>
        <v>OK</v>
      </c>
    </row>
    <row r="168" spans="1:26">
      <c r="A168" s="17" t="str">
        <f>IF($B168="","","A-1163")</f>
        <v>A-1163</v>
      </c>
      <c r="B168" s="24">
        <v>46273</v>
      </c>
      <c r="C168" s="23" t="s">
        <v>23</v>
      </c>
      <c r="D168" s="28" t="s">
        <v>18</v>
      </c>
      <c r="E168" s="23" t="s">
        <v>38</v>
      </c>
      <c r="F168" s="23" t="s">
        <v>43</v>
      </c>
      <c r="G168" s="28" t="s">
        <v>49</v>
      </c>
      <c r="H168" s="28" t="s">
        <v>50</v>
      </c>
      <c r="I168" s="28" t="s">
        <v>49</v>
      </c>
      <c r="J168" s="28" t="s">
        <v>49</v>
      </c>
      <c r="K168" s="28" t="s">
        <v>49</v>
      </c>
      <c r="L168" s="28" t="s">
        <v>49</v>
      </c>
      <c r="M168" s="28" t="s">
        <v>49</v>
      </c>
      <c r="N168" s="28" t="s">
        <v>49</v>
      </c>
      <c r="O168" s="28" t="s">
        <v>49</v>
      </c>
      <c r="P168" s="28" t="s">
        <v>49</v>
      </c>
      <c r="Q168" s="28" t="s">
        <v>51</v>
      </c>
      <c r="R168" s="28" t="s">
        <v>49</v>
      </c>
      <c r="S168" s="28" t="s">
        <v>49</v>
      </c>
      <c r="T168" s="28" t="s">
        <v>50</v>
      </c>
      <c r="U168" s="28" t="s">
        <v>49</v>
      </c>
      <c r="V168" s="17">
        <f>IF($B168="","",COUNTIF(G168:U168,"OK"))</f>
        <v>12.0</v>
      </c>
      <c r="W168" s="17">
        <f>IF($B168="","",COUNTIF(G168:U168,"NOK"))</f>
        <v>2.0</v>
      </c>
      <c r="X168" s="9">
        <f>IF($B168="","",IF(V168+W168=0,"",V168/(V168+W168)))</f>
        <v>0.8571428571428571</v>
      </c>
      <c r="Y168" s="17" t="str">
        <f>IF(X168="","",IF(X168&gt;=Setup!$C$7,"PASS","FAIL"))</f>
        <v>FAIL</v>
      </c>
      <c r="Z168" s="17" t="str">
        <f>IF($B168="","",IF(W168=0,"",IF(COUNTIF(Findings!$B$6:$B$305,$A168)&gt;=W168,"OK","LOG FINDING")))</f>
        <v>OK</v>
      </c>
    </row>
    <row r="169" spans="1:26">
      <c r="A169" s="17" t="str">
        <f>IF($B169="","","A-1164")</f>
        <v>A-1164</v>
      </c>
      <c r="B169" s="24">
        <v>46274</v>
      </c>
      <c r="C169" s="23" t="s">
        <v>26</v>
      </c>
      <c r="D169" s="28" t="s">
        <v>14</v>
      </c>
      <c r="E169" s="23" t="s">
        <v>32</v>
      </c>
      <c r="F169" s="23" t="s">
        <v>44</v>
      </c>
      <c r="G169" s="28" t="s">
        <v>49</v>
      </c>
      <c r="H169" s="28" t="s">
        <v>49</v>
      </c>
      <c r="I169" s="28" t="s">
        <v>49</v>
      </c>
      <c r="J169" s="28" t="s">
        <v>51</v>
      </c>
      <c r="K169" s="28" t="s">
        <v>49</v>
      </c>
      <c r="L169" s="28" t="s">
        <v>49</v>
      </c>
      <c r="M169" s="28" t="s">
        <v>49</v>
      </c>
      <c r="N169" s="28" t="s">
        <v>49</v>
      </c>
      <c r="O169" s="28" t="s">
        <v>49</v>
      </c>
      <c r="P169" s="28" t="s">
        <v>49</v>
      </c>
      <c r="Q169" s="28" t="s">
        <v>49</v>
      </c>
      <c r="R169" s="28" t="s">
        <v>49</v>
      </c>
      <c r="S169" s="28" t="s">
        <v>49</v>
      </c>
      <c r="T169" s="28" t="s">
        <v>49</v>
      </c>
      <c r="U169" s="28" t="s">
        <v>49</v>
      </c>
      <c r="V169" s="17">
        <f>IF($B169="","",COUNTIF(G169:U169,"OK"))</f>
        <v>14.0</v>
      </c>
      <c r="W169" s="17">
        <f>IF($B169="","",COUNTIF(G169:U169,"NOK"))</f>
        <v>0.0</v>
      </c>
      <c r="X169" s="9">
        <f>IF($B169="","",IF(V169+W169=0,"",V169/(V169+W169)))</f>
        <v>1.0</v>
      </c>
      <c r="Y169" s="17" t="str">
        <f>IF(X169="","",IF(X169&gt;=Setup!$C$7,"PASS","FAIL"))</f>
        <v>PASS</v>
      </c>
      <c r="Z169" s="17">
        <f>IF($B169="","",IF(W169=0,"",IF(COUNTIF(Findings!$B$6:$B$305,$A169)&gt;=W169,"OK","LOG FINDING")))</f>
        <v/>
      </c>
    </row>
    <row r="170" spans="1:26">
      <c r="A170" s="17" t="str">
        <f>IF($B170="","","A-1165")</f>
        <v>A-1165</v>
      </c>
      <c r="B170" s="24">
        <v>46275</v>
      </c>
      <c r="C170" s="23" t="s">
        <v>23</v>
      </c>
      <c r="D170" s="28" t="s">
        <v>14</v>
      </c>
      <c r="E170" s="23" t="s">
        <v>33</v>
      </c>
      <c r="F170" s="23" t="s">
        <v>43</v>
      </c>
      <c r="G170" s="28" t="s">
        <v>49</v>
      </c>
      <c r="H170" s="28" t="s">
        <v>49</v>
      </c>
      <c r="I170" s="28" t="s">
        <v>49</v>
      </c>
      <c r="J170" s="28" t="s">
        <v>49</v>
      </c>
      <c r="K170" s="28" t="s">
        <v>49</v>
      </c>
      <c r="L170" s="28" t="s">
        <v>49</v>
      </c>
      <c r="M170" s="28" t="s">
        <v>50</v>
      </c>
      <c r="N170" s="28" t="s">
        <v>49</v>
      </c>
      <c r="O170" s="28" t="s">
        <v>49</v>
      </c>
      <c r="P170" s="28" t="s">
        <v>49</v>
      </c>
      <c r="Q170" s="28" t="s">
        <v>51</v>
      </c>
      <c r="R170" s="28" t="s">
        <v>49</v>
      </c>
      <c r="S170" s="28" t="s">
        <v>49</v>
      </c>
      <c r="T170" s="28" t="s">
        <v>49</v>
      </c>
      <c r="U170" s="28" t="s">
        <v>49</v>
      </c>
      <c r="V170" s="17">
        <f>IF($B170="","",COUNTIF(G170:U170,"OK"))</f>
        <v>13.0</v>
      </c>
      <c r="W170" s="17">
        <f>IF($B170="","",COUNTIF(G170:U170,"NOK"))</f>
        <v>1.0</v>
      </c>
      <c r="X170" s="9">
        <f>IF($B170="","",IF(V170+W170=0,"",V170/(V170+W170)))</f>
        <v>0.9285714285714286</v>
      </c>
      <c r="Y170" s="17" t="str">
        <f>IF(X170="","",IF(X170&gt;=Setup!$C$7,"PASS","FAIL"))</f>
        <v>FAIL</v>
      </c>
      <c r="Z170" s="17" t="str">
        <f>IF($B170="","",IF(W170=0,"",IF(COUNTIF(Findings!$B$6:$B$305,$A170)&gt;=W170,"OK","LOG FINDING")))</f>
        <v>OK</v>
      </c>
    </row>
    <row r="171" spans="1:26">
      <c r="A171" s="17" t="str">
        <f>IF($B171="","","A-1166")</f>
        <v>A-1166</v>
      </c>
      <c r="B171" s="24">
        <v>46276</v>
      </c>
      <c r="C171" s="23" t="s">
        <v>26</v>
      </c>
      <c r="D171" s="28" t="s">
        <v>14</v>
      </c>
      <c r="E171" s="23" t="s">
        <v>33</v>
      </c>
      <c r="F171" s="23" t="s">
        <v>43</v>
      </c>
      <c r="G171" s="28" t="s">
        <v>49</v>
      </c>
      <c r="H171" s="28" t="s">
        <v>49</v>
      </c>
      <c r="I171" s="28" t="s">
        <v>49</v>
      </c>
      <c r="J171" s="28" t="s">
        <v>51</v>
      </c>
      <c r="K171" s="28" t="s">
        <v>49</v>
      </c>
      <c r="L171" s="28" t="s">
        <v>49</v>
      </c>
      <c r="M171" s="28" t="s">
        <v>49</v>
      </c>
      <c r="N171" s="28" t="s">
        <v>49</v>
      </c>
      <c r="O171" s="28" t="s">
        <v>49</v>
      </c>
      <c r="P171" s="28" t="s">
        <v>49</v>
      </c>
      <c r="Q171" s="28" t="s">
        <v>49</v>
      </c>
      <c r="R171" s="28" t="s">
        <v>49</v>
      </c>
      <c r="S171" s="28" t="s">
        <v>49</v>
      </c>
      <c r="T171" s="28" t="s">
        <v>49</v>
      </c>
      <c r="U171" s="28" t="s">
        <v>49</v>
      </c>
      <c r="V171" s="17">
        <f>IF($B171="","",COUNTIF(G171:U171,"OK"))</f>
        <v>14.0</v>
      </c>
      <c r="W171" s="17">
        <f>IF($B171="","",COUNTIF(G171:U171,"NOK"))</f>
        <v>0.0</v>
      </c>
      <c r="X171" s="9">
        <f>IF($B171="","",IF(V171+W171=0,"",V171/(V171+W171)))</f>
        <v>1.0</v>
      </c>
      <c r="Y171" s="17" t="str">
        <f>IF(X171="","",IF(X171&gt;=Setup!$C$7,"PASS","FAIL"))</f>
        <v>PASS</v>
      </c>
      <c r="Z171" s="17">
        <f>IF($B171="","",IF(W171=0,"",IF(COUNTIF(Findings!$B$6:$B$305,$A171)&gt;=W171,"OK","LOG FINDING")))</f>
        <v/>
      </c>
    </row>
    <row r="172" spans="1:26">
      <c r="A172" s="17" t="str">
        <f>IF($B172="","","A-1167")</f>
        <v>A-1167</v>
      </c>
      <c r="B172" s="24">
        <v>46276</v>
      </c>
      <c r="C172" s="23" t="s">
        <v>27</v>
      </c>
      <c r="D172" s="28" t="s">
        <v>16</v>
      </c>
      <c r="E172" s="23" t="s">
        <v>36</v>
      </c>
      <c r="F172" s="23" t="s">
        <v>43</v>
      </c>
      <c r="G172" s="28" t="s">
        <v>49</v>
      </c>
      <c r="H172" s="28" t="s">
        <v>49</v>
      </c>
      <c r="I172" s="28" t="s">
        <v>49</v>
      </c>
      <c r="J172" s="28" t="s">
        <v>49</v>
      </c>
      <c r="K172" s="28" t="s">
        <v>49</v>
      </c>
      <c r="L172" s="28" t="s">
        <v>49</v>
      </c>
      <c r="M172" s="28" t="s">
        <v>49</v>
      </c>
      <c r="N172" s="28" t="s">
        <v>50</v>
      </c>
      <c r="O172" s="28" t="s">
        <v>49</v>
      </c>
      <c r="P172" s="28" t="s">
        <v>49</v>
      </c>
      <c r="Q172" s="28" t="s">
        <v>49</v>
      </c>
      <c r="R172" s="28" t="s">
        <v>49</v>
      </c>
      <c r="S172" s="28" t="s">
        <v>49</v>
      </c>
      <c r="T172" s="28" t="s">
        <v>49</v>
      </c>
      <c r="U172" s="28" t="s">
        <v>49</v>
      </c>
      <c r="V172" s="17">
        <f>IF($B172="","",COUNTIF(G172:U172,"OK"))</f>
        <v>14.0</v>
      </c>
      <c r="W172" s="17">
        <f>IF($B172="","",COUNTIF(G172:U172,"NOK"))</f>
        <v>1.0</v>
      </c>
      <c r="X172" s="9">
        <f>IF($B172="","",IF(V172+W172=0,"",V172/(V172+W172)))</f>
        <v>0.9333333333333333</v>
      </c>
      <c r="Y172" s="17" t="str">
        <f>IF(X172="","",IF(X172&gt;=Setup!$C$7,"PASS","FAIL"))</f>
        <v>FAIL</v>
      </c>
      <c r="Z172" s="17" t="str">
        <f>IF($B172="","",IF(W172=0,"",IF(COUNTIF(Findings!$B$6:$B$305,$A172)&gt;=W172,"OK","LOG FINDING")))</f>
        <v>OK</v>
      </c>
    </row>
    <row r="173" spans="1:26">
      <c r="A173" s="17" t="str">
        <f>IF($B173="","","A-1168")</f>
        <v>A-1168</v>
      </c>
      <c r="B173" s="24">
        <v>46280</v>
      </c>
      <c r="C173" s="23" t="s">
        <v>25</v>
      </c>
      <c r="D173" s="28" t="s">
        <v>14</v>
      </c>
      <c r="E173" s="23" t="s">
        <v>33</v>
      </c>
      <c r="F173" s="23" t="s">
        <v>43</v>
      </c>
      <c r="G173" s="28" t="s">
        <v>49</v>
      </c>
      <c r="H173" s="28" t="s">
        <v>49</v>
      </c>
      <c r="I173" s="28" t="s">
        <v>50</v>
      </c>
      <c r="J173" s="28" t="s">
        <v>51</v>
      </c>
      <c r="K173" s="28" t="s">
        <v>49</v>
      </c>
      <c r="L173" s="28" t="s">
        <v>49</v>
      </c>
      <c r="M173" s="28" t="s">
        <v>49</v>
      </c>
      <c r="N173" s="28" t="s">
        <v>49</v>
      </c>
      <c r="O173" s="28" t="s">
        <v>49</v>
      </c>
      <c r="P173" s="28" t="s">
        <v>49</v>
      </c>
      <c r="Q173" s="28" t="s">
        <v>49</v>
      </c>
      <c r="R173" s="28" t="s">
        <v>49</v>
      </c>
      <c r="S173" s="28" t="s">
        <v>49</v>
      </c>
      <c r="T173" s="28" t="s">
        <v>49</v>
      </c>
      <c r="U173" s="28" t="s">
        <v>49</v>
      </c>
      <c r="V173" s="17">
        <f>IF($B173="","",COUNTIF(G173:U173,"OK"))</f>
        <v>13.0</v>
      </c>
      <c r="W173" s="17">
        <f>IF($B173="","",COUNTIF(G173:U173,"NOK"))</f>
        <v>1.0</v>
      </c>
      <c r="X173" s="9">
        <f>IF($B173="","",IF(V173+W173=0,"",V173/(V173+W173)))</f>
        <v>0.9285714285714286</v>
      </c>
      <c r="Y173" s="17" t="str">
        <f>IF(X173="","",IF(X173&gt;=Setup!$C$7,"PASS","FAIL"))</f>
        <v>FAIL</v>
      </c>
      <c r="Z173" s="17" t="str">
        <f>IF($B173="","",IF(W173=0,"",IF(COUNTIF(Findings!$B$6:$B$305,$A173)&gt;=W173,"OK","LOG FINDING")))</f>
        <v>OK</v>
      </c>
    </row>
    <row r="174" spans="1:26">
      <c r="A174" s="17" t="str">
        <f>IF($B174="","","A-1169")</f>
        <v>A-1169</v>
      </c>
      <c r="B174" s="24">
        <v>46281</v>
      </c>
      <c r="C174" s="23" t="s">
        <v>24</v>
      </c>
      <c r="D174" s="28" t="s">
        <v>14</v>
      </c>
      <c r="E174" s="23" t="s">
        <v>33</v>
      </c>
      <c r="F174" s="23" t="s">
        <v>43</v>
      </c>
      <c r="G174" s="28" t="s">
        <v>49</v>
      </c>
      <c r="H174" s="28" t="s">
        <v>49</v>
      </c>
      <c r="I174" s="28" t="s">
        <v>49</v>
      </c>
      <c r="J174" s="28" t="s">
        <v>49</v>
      </c>
      <c r="K174" s="28" t="s">
        <v>49</v>
      </c>
      <c r="L174" s="28" t="s">
        <v>49</v>
      </c>
      <c r="M174" s="28" t="s">
        <v>49</v>
      </c>
      <c r="N174" s="28" t="s">
        <v>49</v>
      </c>
      <c r="O174" s="28" t="s">
        <v>49</v>
      </c>
      <c r="P174" s="28" t="s">
        <v>49</v>
      </c>
      <c r="Q174" s="28" t="s">
        <v>49</v>
      </c>
      <c r="R174" s="28" t="s">
        <v>49</v>
      </c>
      <c r="S174" s="28" t="s">
        <v>49</v>
      </c>
      <c r="T174" s="28" t="s">
        <v>49</v>
      </c>
      <c r="U174" s="28" t="s">
        <v>49</v>
      </c>
      <c r="V174" s="17">
        <f>IF($B174="","",COUNTIF(G174:U174,"OK"))</f>
        <v>15.0</v>
      </c>
      <c r="W174" s="17">
        <f>IF($B174="","",COUNTIF(G174:U174,"NOK"))</f>
        <v>0.0</v>
      </c>
      <c r="X174" s="9">
        <f>IF($B174="","",IF(V174+W174=0,"",V174/(V174+W174)))</f>
        <v>1.0</v>
      </c>
      <c r="Y174" s="17" t="str">
        <f>IF(X174="","",IF(X174&gt;=Setup!$C$7,"PASS","FAIL"))</f>
        <v>PASS</v>
      </c>
      <c r="Z174" s="17">
        <f>IF($B174="","",IF(W174=0,"",IF(COUNTIF(Findings!$B$6:$B$305,$A174)&gt;=W174,"OK","LOG FINDING")))</f>
        <v/>
      </c>
    </row>
    <row r="175" spans="1:26">
      <c r="A175" s="17" t="str">
        <f>IF($B175="","","A-1170")</f>
        <v>A-1170</v>
      </c>
      <c r="B175" s="24">
        <v>46282</v>
      </c>
      <c r="C175" s="23" t="s">
        <v>24</v>
      </c>
      <c r="D175" s="28" t="s">
        <v>16</v>
      </c>
      <c r="E175" s="23" t="s">
        <v>36</v>
      </c>
      <c r="F175" s="23" t="s">
        <v>43</v>
      </c>
      <c r="G175" s="28" t="s">
        <v>49</v>
      </c>
      <c r="H175" s="28" t="s">
        <v>49</v>
      </c>
      <c r="I175" s="28" t="s">
        <v>49</v>
      </c>
      <c r="J175" s="28" t="s">
        <v>51</v>
      </c>
      <c r="K175" s="28" t="s">
        <v>49</v>
      </c>
      <c r="L175" s="28" t="s">
        <v>49</v>
      </c>
      <c r="M175" s="28" t="s">
        <v>49</v>
      </c>
      <c r="N175" s="28" t="s">
        <v>49</v>
      </c>
      <c r="O175" s="28" t="s">
        <v>50</v>
      </c>
      <c r="P175" s="28" t="s">
        <v>49</v>
      </c>
      <c r="Q175" s="28" t="s">
        <v>49</v>
      </c>
      <c r="R175" s="28" t="s">
        <v>49</v>
      </c>
      <c r="S175" s="28" t="s">
        <v>49</v>
      </c>
      <c r="T175" s="28" t="s">
        <v>49</v>
      </c>
      <c r="U175" s="28" t="s">
        <v>49</v>
      </c>
      <c r="V175" s="17">
        <f>IF($B175="","",COUNTIF(G175:U175,"OK"))</f>
        <v>13.0</v>
      </c>
      <c r="W175" s="17">
        <f>IF($B175="","",COUNTIF(G175:U175,"NOK"))</f>
        <v>1.0</v>
      </c>
      <c r="X175" s="9">
        <f>IF($B175="","",IF(V175+W175=0,"",V175/(V175+W175)))</f>
        <v>0.9285714285714286</v>
      </c>
      <c r="Y175" s="17" t="str">
        <f>IF(X175="","",IF(X175&gt;=Setup!$C$7,"PASS","FAIL"))</f>
        <v>FAIL</v>
      </c>
      <c r="Z175" s="17" t="str">
        <f>IF($B175="","",IF(W175=0,"",IF(COUNTIF(Findings!$B$6:$B$305,$A175)&gt;=W175,"OK","LOG FINDING")))</f>
        <v>OK</v>
      </c>
    </row>
    <row r="176" spans="1:26">
      <c r="A176" s="17" t="str">
        <f>IF($B176="","","A-1171")</f>
        <v>A-1171</v>
      </c>
      <c r="B176" s="24">
        <v>46282</v>
      </c>
      <c r="C176" s="23" t="s">
        <v>22</v>
      </c>
      <c r="D176" s="28" t="s">
        <v>16</v>
      </c>
      <c r="E176" s="23" t="s">
        <v>35</v>
      </c>
      <c r="F176" s="23" t="s">
        <v>43</v>
      </c>
      <c r="G176" s="28" t="s">
        <v>49</v>
      </c>
      <c r="H176" s="28" t="s">
        <v>49</v>
      </c>
      <c r="I176" s="28" t="s">
        <v>49</v>
      </c>
      <c r="J176" s="28" t="s">
        <v>49</v>
      </c>
      <c r="K176" s="28" t="s">
        <v>49</v>
      </c>
      <c r="L176" s="28" t="s">
        <v>49</v>
      </c>
      <c r="M176" s="28" t="s">
        <v>49</v>
      </c>
      <c r="N176" s="28" t="s">
        <v>49</v>
      </c>
      <c r="O176" s="28" t="s">
        <v>49</v>
      </c>
      <c r="P176" s="28" t="s">
        <v>49</v>
      </c>
      <c r="Q176" s="28" t="s">
        <v>49</v>
      </c>
      <c r="R176" s="28" t="s">
        <v>49</v>
      </c>
      <c r="S176" s="28" t="s">
        <v>49</v>
      </c>
      <c r="T176" s="28" t="s">
        <v>49</v>
      </c>
      <c r="U176" s="28" t="s">
        <v>49</v>
      </c>
      <c r="V176" s="17">
        <f>IF($B176="","",COUNTIF(G176:U176,"OK"))</f>
        <v>15.0</v>
      </c>
      <c r="W176" s="17">
        <f>IF($B176="","",COUNTIF(G176:U176,"NOK"))</f>
        <v>0.0</v>
      </c>
      <c r="X176" s="9">
        <f>IF($B176="","",IF(V176+W176=0,"",V176/(V176+W176)))</f>
        <v>1.0</v>
      </c>
      <c r="Y176" s="17" t="str">
        <f>IF(X176="","",IF(X176&gt;=Setup!$C$7,"PASS","FAIL"))</f>
        <v>PASS</v>
      </c>
      <c r="Z176" s="17">
        <f>IF($B176="","",IF(W176=0,"",IF(COUNTIF(Findings!$B$6:$B$305,$A176)&gt;=W176,"OK","LOG FINDING")))</f>
        <v/>
      </c>
    </row>
    <row r="177" spans="1:26">
      <c r="A177" s="17" t="str">
        <f>IF($B177="","","A-1172")</f>
        <v>A-1172</v>
      </c>
      <c r="B177" s="24">
        <v>46286</v>
      </c>
      <c r="C177" s="23" t="s">
        <v>27</v>
      </c>
      <c r="D177" s="28" t="s">
        <v>14</v>
      </c>
      <c r="E177" s="23" t="s">
        <v>32</v>
      </c>
      <c r="F177" s="23" t="s">
        <v>43</v>
      </c>
      <c r="G177" s="28" t="s">
        <v>49</v>
      </c>
      <c r="H177" s="28" t="s">
        <v>49</v>
      </c>
      <c r="I177" s="28" t="s">
        <v>49</v>
      </c>
      <c r="J177" s="28" t="s">
        <v>49</v>
      </c>
      <c r="K177" s="28" t="s">
        <v>49</v>
      </c>
      <c r="L177" s="28" t="s">
        <v>49</v>
      </c>
      <c r="M177" s="28" t="s">
        <v>49</v>
      </c>
      <c r="N177" s="28" t="s">
        <v>49</v>
      </c>
      <c r="O177" s="28" t="s">
        <v>49</v>
      </c>
      <c r="P177" s="28" t="s">
        <v>49</v>
      </c>
      <c r="Q177" s="28" t="s">
        <v>49</v>
      </c>
      <c r="R177" s="28" t="s">
        <v>49</v>
      </c>
      <c r="S177" s="28" t="s">
        <v>49</v>
      </c>
      <c r="T177" s="28" t="s">
        <v>49</v>
      </c>
      <c r="U177" s="28" t="s">
        <v>49</v>
      </c>
      <c r="V177" s="17">
        <f>IF($B177="","",COUNTIF(G177:U177,"OK"))</f>
        <v>15.0</v>
      </c>
      <c r="W177" s="17">
        <f>IF($B177="","",COUNTIF(G177:U177,"NOK"))</f>
        <v>0.0</v>
      </c>
      <c r="X177" s="9">
        <f>IF($B177="","",IF(V177+W177=0,"",V177/(V177+W177)))</f>
        <v>1.0</v>
      </c>
      <c r="Y177" s="17" t="str">
        <f>IF(X177="","",IF(X177&gt;=Setup!$C$7,"PASS","FAIL"))</f>
        <v>PASS</v>
      </c>
      <c r="Z177" s="17">
        <f>IF($B177="","",IF(W177=0,"",IF(COUNTIF(Findings!$B$6:$B$305,$A177)&gt;=W177,"OK","LOG FINDING")))</f>
        <v/>
      </c>
    </row>
    <row r="178" spans="1:26">
      <c r="A178" s="17" t="str">
        <f>IF($B178="","","A-1173")</f>
        <v>A-1173</v>
      </c>
      <c r="B178" s="24">
        <v>46287</v>
      </c>
      <c r="C178" s="23" t="s">
        <v>22</v>
      </c>
      <c r="D178" s="28" t="s">
        <v>14</v>
      </c>
      <c r="E178" s="23" t="s">
        <v>34</v>
      </c>
      <c r="F178" s="23" t="s">
        <v>43</v>
      </c>
      <c r="G178" s="28" t="s">
        <v>49</v>
      </c>
      <c r="H178" s="28" t="s">
        <v>49</v>
      </c>
      <c r="I178" s="28" t="s">
        <v>49</v>
      </c>
      <c r="J178" s="28" t="s">
        <v>49</v>
      </c>
      <c r="K178" s="28" t="s">
        <v>49</v>
      </c>
      <c r="L178" s="28" t="s">
        <v>49</v>
      </c>
      <c r="M178" s="28" t="s">
        <v>49</v>
      </c>
      <c r="N178" s="28" t="s">
        <v>49</v>
      </c>
      <c r="O178" s="28" t="s">
        <v>49</v>
      </c>
      <c r="P178" s="28" t="s">
        <v>49</v>
      </c>
      <c r="Q178" s="28" t="s">
        <v>49</v>
      </c>
      <c r="R178" s="28" t="s">
        <v>50</v>
      </c>
      <c r="S178" s="28" t="s">
        <v>49</v>
      </c>
      <c r="T178" s="28" t="s">
        <v>49</v>
      </c>
      <c r="U178" s="28" t="s">
        <v>49</v>
      </c>
      <c r="V178" s="17">
        <f>IF($B178="","",COUNTIF(G178:U178,"OK"))</f>
        <v>14.0</v>
      </c>
      <c r="W178" s="17">
        <f>IF($B178="","",COUNTIF(G178:U178,"NOK"))</f>
        <v>1.0</v>
      </c>
      <c r="X178" s="9">
        <f>IF($B178="","",IF(V178+W178=0,"",V178/(V178+W178)))</f>
        <v>0.9333333333333333</v>
      </c>
      <c r="Y178" s="17" t="str">
        <f>IF(X178="","",IF(X178&gt;=Setup!$C$7,"PASS","FAIL"))</f>
        <v>FAIL</v>
      </c>
      <c r="Z178" s="17" t="str">
        <f>IF($B178="","",IF(W178=0,"",IF(COUNTIF(Findings!$B$6:$B$305,$A178)&gt;=W178,"OK","LOG FINDING")))</f>
        <v>OK</v>
      </c>
    </row>
    <row r="179" spans="1:26">
      <c r="A179" s="17" t="str">
        <f>IF($B179="","","A-1174")</f>
        <v>A-1174</v>
      </c>
      <c r="B179" s="24">
        <v>46288</v>
      </c>
      <c r="C179" s="23" t="s">
        <v>25</v>
      </c>
      <c r="D179" s="28" t="s">
        <v>16</v>
      </c>
      <c r="E179" s="23" t="s">
        <v>36</v>
      </c>
      <c r="F179" s="23" t="s">
        <v>43</v>
      </c>
      <c r="G179" s="28" t="s">
        <v>49</v>
      </c>
      <c r="H179" s="28" t="s">
        <v>49</v>
      </c>
      <c r="I179" s="28" t="s">
        <v>49</v>
      </c>
      <c r="J179" s="28" t="s">
        <v>49</v>
      </c>
      <c r="K179" s="28" t="s">
        <v>49</v>
      </c>
      <c r="L179" s="28" t="s">
        <v>49</v>
      </c>
      <c r="M179" s="28" t="s">
        <v>49</v>
      </c>
      <c r="N179" s="28" t="s">
        <v>49</v>
      </c>
      <c r="O179" s="28" t="s">
        <v>49</v>
      </c>
      <c r="P179" s="28" t="s">
        <v>49</v>
      </c>
      <c r="Q179" s="28" t="s">
        <v>51</v>
      </c>
      <c r="R179" s="28" t="s">
        <v>49</v>
      </c>
      <c r="S179" s="28" t="s">
        <v>49</v>
      </c>
      <c r="T179" s="28" t="s">
        <v>49</v>
      </c>
      <c r="U179" s="28" t="s">
        <v>49</v>
      </c>
      <c r="V179" s="17">
        <f>IF($B179="","",COUNTIF(G179:U179,"OK"))</f>
        <v>14.0</v>
      </c>
      <c r="W179" s="17">
        <f>IF($B179="","",COUNTIF(G179:U179,"NOK"))</f>
        <v>0.0</v>
      </c>
      <c r="X179" s="9">
        <f>IF($B179="","",IF(V179+W179=0,"",V179/(V179+W179)))</f>
        <v>1.0</v>
      </c>
      <c r="Y179" s="17" t="str">
        <f>IF(X179="","",IF(X179&gt;=Setup!$C$7,"PASS","FAIL"))</f>
        <v>PASS</v>
      </c>
      <c r="Z179" s="17">
        <f>IF($B179="","",IF(W179=0,"",IF(COUNTIF(Findings!$B$6:$B$305,$A179)&gt;=W179,"OK","LOG FINDING")))</f>
        <v/>
      </c>
    </row>
    <row r="180" spans="1:26">
      <c r="A180" s="17" t="str">
        <f>IF($B180="","","A-1175")</f>
        <v>A-1175</v>
      </c>
      <c r="B180" s="24">
        <v>46289</v>
      </c>
      <c r="C180" s="23" t="s">
        <v>23</v>
      </c>
      <c r="D180" s="28" t="s">
        <v>16</v>
      </c>
      <c r="E180" s="23" t="s">
        <v>35</v>
      </c>
      <c r="F180" s="23" t="s">
        <v>44</v>
      </c>
      <c r="G180" s="28" t="s">
        <v>49</v>
      </c>
      <c r="H180" s="28" t="s">
        <v>49</v>
      </c>
      <c r="I180" s="28" t="s">
        <v>49</v>
      </c>
      <c r="J180" s="28" t="s">
        <v>49</v>
      </c>
      <c r="K180" s="28" t="s">
        <v>49</v>
      </c>
      <c r="L180" s="28" t="s">
        <v>49</v>
      </c>
      <c r="M180" s="28" t="s">
        <v>49</v>
      </c>
      <c r="N180" s="28" t="s">
        <v>49</v>
      </c>
      <c r="O180" s="28" t="s">
        <v>49</v>
      </c>
      <c r="P180" s="28" t="s">
        <v>49</v>
      </c>
      <c r="Q180" s="28" t="s">
        <v>49</v>
      </c>
      <c r="R180" s="28" t="s">
        <v>49</v>
      </c>
      <c r="S180" s="28" t="s">
        <v>49</v>
      </c>
      <c r="T180" s="28" t="s">
        <v>49</v>
      </c>
      <c r="U180" s="28" t="s">
        <v>49</v>
      </c>
      <c r="V180" s="17">
        <f>IF($B180="","",COUNTIF(G180:U180,"OK"))</f>
        <v>15.0</v>
      </c>
      <c r="W180" s="17">
        <f>IF($B180="","",COUNTIF(G180:U180,"NOK"))</f>
        <v>0.0</v>
      </c>
      <c r="X180" s="9">
        <f>IF($B180="","",IF(V180+W180=0,"",V180/(V180+W180)))</f>
        <v>1.0</v>
      </c>
      <c r="Y180" s="17" t="str">
        <f>IF(X180="","",IF(X180&gt;=Setup!$C$7,"PASS","FAIL"))</f>
        <v>PASS</v>
      </c>
      <c r="Z180" s="17">
        <f>IF($B180="","",IF(W180=0,"",IF(COUNTIF(Findings!$B$6:$B$305,$A180)&gt;=W180,"OK","LOG FINDING")))</f>
        <v/>
      </c>
    </row>
    <row r="181" spans="1:26">
      <c r="A181" s="17" t="str">
        <f>IF($B181="","","A-1176")</f>
        <v>A-1176</v>
      </c>
      <c r="B181" s="24">
        <v>46294</v>
      </c>
      <c r="C181" s="23" t="s">
        <v>27</v>
      </c>
      <c r="D181" s="28" t="s">
        <v>18</v>
      </c>
      <c r="E181" s="23" t="s">
        <v>37</v>
      </c>
      <c r="F181" s="23" t="s">
        <v>43</v>
      </c>
      <c r="G181" s="28" t="s">
        <v>49</v>
      </c>
      <c r="H181" s="28" t="s">
        <v>49</v>
      </c>
      <c r="I181" s="28" t="s">
        <v>49</v>
      </c>
      <c r="J181" s="28" t="s">
        <v>49</v>
      </c>
      <c r="K181" s="28" t="s">
        <v>49</v>
      </c>
      <c r="L181" s="28" t="s">
        <v>49</v>
      </c>
      <c r="M181" s="28" t="s">
        <v>49</v>
      </c>
      <c r="N181" s="28" t="s">
        <v>49</v>
      </c>
      <c r="O181" s="28" t="s">
        <v>49</v>
      </c>
      <c r="P181" s="28" t="s">
        <v>49</v>
      </c>
      <c r="Q181" s="28" t="s">
        <v>49</v>
      </c>
      <c r="R181" s="28" t="s">
        <v>49</v>
      </c>
      <c r="S181" s="28" t="s">
        <v>49</v>
      </c>
      <c r="T181" s="28" t="s">
        <v>49</v>
      </c>
      <c r="U181" s="28" t="s">
        <v>49</v>
      </c>
      <c r="V181" s="17">
        <f>IF($B181="","",COUNTIF(G181:U181,"OK"))</f>
        <v>15.0</v>
      </c>
      <c r="W181" s="17">
        <f>IF($B181="","",COUNTIF(G181:U181,"NOK"))</f>
        <v>0.0</v>
      </c>
      <c r="X181" s="9">
        <f>IF($B181="","",IF(V181+W181=0,"",V181/(V181+W181)))</f>
        <v>1.0</v>
      </c>
      <c r="Y181" s="17" t="str">
        <f>IF(X181="","",IF(X181&gt;=Setup!$C$7,"PASS","FAIL"))</f>
        <v>PASS</v>
      </c>
      <c r="Z181" s="17">
        <f>IF($B181="","",IF(W181=0,"",IF(COUNTIF(Findings!$B$6:$B$305,$A181)&gt;=W181,"OK","LOG FINDING")))</f>
        <v/>
      </c>
    </row>
    <row r="182" spans="1:26">
      <c r="A182" s="17" t="str">
        <f>IF($B182="","","A-1177")</f>
        <v>A-1177</v>
      </c>
      <c r="B182" s="24">
        <v>46294</v>
      </c>
      <c r="C182" s="23" t="s">
        <v>25</v>
      </c>
      <c r="D182" s="28" t="s">
        <v>14</v>
      </c>
      <c r="E182" s="23" t="s">
        <v>32</v>
      </c>
      <c r="F182" s="23" t="s">
        <v>43</v>
      </c>
      <c r="G182" s="28" t="s">
        <v>49</v>
      </c>
      <c r="H182" s="28" t="s">
        <v>49</v>
      </c>
      <c r="I182" s="28" t="s">
        <v>49</v>
      </c>
      <c r="J182" s="28" t="s">
        <v>49</v>
      </c>
      <c r="K182" s="28" t="s">
        <v>49</v>
      </c>
      <c r="L182" s="28" t="s">
        <v>49</v>
      </c>
      <c r="M182" s="28" t="s">
        <v>49</v>
      </c>
      <c r="N182" s="28" t="s">
        <v>49</v>
      </c>
      <c r="O182" s="28" t="s">
        <v>49</v>
      </c>
      <c r="P182" s="28" t="s">
        <v>49</v>
      </c>
      <c r="Q182" s="28" t="s">
        <v>49</v>
      </c>
      <c r="R182" s="28" t="s">
        <v>49</v>
      </c>
      <c r="S182" s="28" t="s">
        <v>49</v>
      </c>
      <c r="T182" s="28" t="s">
        <v>49</v>
      </c>
      <c r="U182" s="28" t="s">
        <v>49</v>
      </c>
      <c r="V182" s="17">
        <f>IF($B182="","",COUNTIF(G182:U182,"OK"))</f>
        <v>15.0</v>
      </c>
      <c r="W182" s="17">
        <f>IF($B182="","",COUNTIF(G182:U182,"NOK"))</f>
        <v>0.0</v>
      </c>
      <c r="X182" s="9">
        <f>IF($B182="","",IF(V182+W182=0,"",V182/(V182+W182)))</f>
        <v>1.0</v>
      </c>
      <c r="Y182" s="17" t="str">
        <f>IF(X182="","",IF(X182&gt;=Setup!$C$7,"PASS","FAIL"))</f>
        <v>PASS</v>
      </c>
      <c r="Z182" s="17">
        <f>IF($B182="","",IF(W182=0,"",IF(COUNTIF(Findings!$B$6:$B$305,$A182)&gt;=W182,"OK","LOG FINDING")))</f>
        <v/>
      </c>
    </row>
    <row r="183" spans="1:26">
      <c r="A183" s="17" t="str">
        <f>IF($B183="","","A-1178")</f>
        <v>A-1178</v>
      </c>
      <c r="B183" s="24">
        <v>46294</v>
      </c>
      <c r="C183" s="23" t="s">
        <v>22</v>
      </c>
      <c r="D183" s="28" t="s">
        <v>14</v>
      </c>
      <c r="E183" s="23" t="s">
        <v>33</v>
      </c>
      <c r="F183" s="23" t="s">
        <v>43</v>
      </c>
      <c r="G183" s="28" t="s">
        <v>50</v>
      </c>
      <c r="H183" s="28" t="s">
        <v>49</v>
      </c>
      <c r="I183" s="28" t="s">
        <v>49</v>
      </c>
      <c r="J183" s="28" t="s">
        <v>49</v>
      </c>
      <c r="K183" s="28" t="s">
        <v>49</v>
      </c>
      <c r="L183" s="28" t="s">
        <v>49</v>
      </c>
      <c r="M183" s="28" t="s">
        <v>49</v>
      </c>
      <c r="N183" s="28" t="s">
        <v>49</v>
      </c>
      <c r="O183" s="28" t="s">
        <v>49</v>
      </c>
      <c r="P183" s="28" t="s">
        <v>49</v>
      </c>
      <c r="Q183" s="28" t="s">
        <v>49</v>
      </c>
      <c r="R183" s="28" t="s">
        <v>49</v>
      </c>
      <c r="S183" s="28" t="s">
        <v>49</v>
      </c>
      <c r="T183" s="28" t="s">
        <v>49</v>
      </c>
      <c r="U183" s="28" t="s">
        <v>49</v>
      </c>
      <c r="V183" s="17">
        <f>IF($B183="","",COUNTIF(G183:U183,"OK"))</f>
        <v>14.0</v>
      </c>
      <c r="W183" s="17">
        <f>IF($B183="","",COUNTIF(G183:U183,"NOK"))</f>
        <v>1.0</v>
      </c>
      <c r="X183" s="9">
        <f>IF($B183="","",IF(V183+W183=0,"",V183/(V183+W183)))</f>
        <v>0.9333333333333333</v>
      </c>
      <c r="Y183" s="17" t="str">
        <f>IF(X183="","",IF(X183&gt;=Setup!$C$7,"PASS","FAIL"))</f>
        <v>FAIL</v>
      </c>
      <c r="Z183" s="17" t="str">
        <f>IF($B183="","",IF(W183=0,"",IF(COUNTIF(Findings!$B$6:$B$305,$A183)&gt;=W183,"OK","LOG FINDING")))</f>
        <v>OK</v>
      </c>
    </row>
    <row r="184" spans="1:26">
      <c r="A184" s="17" t="str">
        <f>IF($B184="","","A-1179")</f>
        <v>A-1179</v>
      </c>
      <c r="B184" s="24">
        <v>46295</v>
      </c>
      <c r="C184" s="23" t="s">
        <v>24</v>
      </c>
      <c r="D184" s="28" t="s">
        <v>14</v>
      </c>
      <c r="E184" s="23" t="s">
        <v>34</v>
      </c>
      <c r="F184" s="23" t="s">
        <v>44</v>
      </c>
      <c r="G184" s="28" t="s">
        <v>49</v>
      </c>
      <c r="H184" s="28" t="s">
        <v>49</v>
      </c>
      <c r="I184" s="28" t="s">
        <v>49</v>
      </c>
      <c r="J184" s="28" t="s">
        <v>49</v>
      </c>
      <c r="K184" s="28" t="s">
        <v>49</v>
      </c>
      <c r="L184" s="28" t="s">
        <v>49</v>
      </c>
      <c r="M184" s="28" t="s">
        <v>49</v>
      </c>
      <c r="N184" s="28" t="s">
        <v>49</v>
      </c>
      <c r="O184" s="28" t="s">
        <v>49</v>
      </c>
      <c r="P184" s="28" t="s">
        <v>49</v>
      </c>
      <c r="Q184" s="28" t="s">
        <v>49</v>
      </c>
      <c r="R184" s="28" t="s">
        <v>49</v>
      </c>
      <c r="S184" s="28" t="s">
        <v>49</v>
      </c>
      <c r="T184" s="28" t="s">
        <v>49</v>
      </c>
      <c r="U184" s="28" t="s">
        <v>49</v>
      </c>
      <c r="V184" s="17">
        <f>IF($B184="","",COUNTIF(G184:U184,"OK"))</f>
        <v>15.0</v>
      </c>
      <c r="W184" s="17">
        <f>IF($B184="","",COUNTIF(G184:U184,"NOK"))</f>
        <v>0.0</v>
      </c>
      <c r="X184" s="9">
        <f>IF($B184="","",IF(V184+W184=0,"",V184/(V184+W184)))</f>
        <v>1.0</v>
      </c>
      <c r="Y184" s="17" t="str">
        <f>IF(X184="","",IF(X184&gt;=Setup!$C$7,"PASS","FAIL"))</f>
        <v>PASS</v>
      </c>
      <c r="Z184" s="17">
        <f>IF($B184="","",IF(W184=0,"",IF(COUNTIF(Findings!$B$6:$B$305,$A184)&gt;=W184,"OK","LOG FINDING")))</f>
        <v/>
      </c>
    </row>
    <row r="185" spans="1:26">
      <c r="A185" s="17" t="str">
        <f>IF($B185="","","A-1180")</f>
        <v>A-1180</v>
      </c>
      <c r="B185" s="24">
        <v>46295</v>
      </c>
      <c r="C185" s="23" t="s">
        <v>25</v>
      </c>
      <c r="D185" s="28" t="s">
        <v>18</v>
      </c>
      <c r="E185" s="23" t="s">
        <v>38</v>
      </c>
      <c r="F185" s="23" t="s">
        <v>43</v>
      </c>
      <c r="G185" s="28" t="s">
        <v>49</v>
      </c>
      <c r="H185" s="28" t="s">
        <v>49</v>
      </c>
      <c r="I185" s="28" t="s">
        <v>49</v>
      </c>
      <c r="J185" s="28" t="s">
        <v>49</v>
      </c>
      <c r="K185" s="28" t="s">
        <v>49</v>
      </c>
      <c r="L185" s="28" t="s">
        <v>49</v>
      </c>
      <c r="M185" s="28" t="s">
        <v>49</v>
      </c>
      <c r="N185" s="28" t="s">
        <v>49</v>
      </c>
      <c r="O185" s="28" t="s">
        <v>49</v>
      </c>
      <c r="P185" s="28" t="s">
        <v>49</v>
      </c>
      <c r="Q185" s="28" t="s">
        <v>49</v>
      </c>
      <c r="R185" s="28" t="s">
        <v>49</v>
      </c>
      <c r="S185" s="28" t="s">
        <v>49</v>
      </c>
      <c r="T185" s="28" t="s">
        <v>49</v>
      </c>
      <c r="U185" s="28" t="s">
        <v>49</v>
      </c>
      <c r="V185" s="17">
        <f>IF($B185="","",COUNTIF(G185:U185,"OK"))</f>
        <v>15.0</v>
      </c>
      <c r="W185" s="17">
        <f>IF($B185="","",COUNTIF(G185:U185,"NOK"))</f>
        <v>0.0</v>
      </c>
      <c r="X185" s="9">
        <f>IF($B185="","",IF(V185+W185=0,"",V185/(V185+W185)))</f>
        <v>1.0</v>
      </c>
      <c r="Y185" s="17" t="str">
        <f>IF(X185="","",IF(X185&gt;=Setup!$C$7,"PASS","FAIL"))</f>
        <v>PASS</v>
      </c>
      <c r="Z185" s="17">
        <f>IF($B185="","",IF(W185=0,"",IF(COUNTIF(Findings!$B$6:$B$305,$A185)&gt;=W185,"OK","LOG FINDING")))</f>
        <v/>
      </c>
    </row>
    <row r="186" spans="1:26">
      <c r="A186" s="17" t="str">
        <f>IF($B186="","","A-1181")</f>
        <v>A-1181</v>
      </c>
      <c r="B186" s="24">
        <v>46296</v>
      </c>
      <c r="C186" s="23" t="s">
        <v>22</v>
      </c>
      <c r="D186" s="28" t="s">
        <v>14</v>
      </c>
      <c r="E186" s="23" t="s">
        <v>34</v>
      </c>
      <c r="F186" s="23" t="s">
        <v>44</v>
      </c>
      <c r="G186" s="28" t="s">
        <v>49</v>
      </c>
      <c r="H186" s="28" t="s">
        <v>49</v>
      </c>
      <c r="I186" s="28" t="s">
        <v>49</v>
      </c>
      <c r="J186" s="28" t="s">
        <v>51</v>
      </c>
      <c r="K186" s="28" t="s">
        <v>49</v>
      </c>
      <c r="L186" s="28" t="s">
        <v>49</v>
      </c>
      <c r="M186" s="28" t="s">
        <v>49</v>
      </c>
      <c r="N186" s="28" t="s">
        <v>49</v>
      </c>
      <c r="O186" s="28" t="s">
        <v>49</v>
      </c>
      <c r="P186" s="28" t="s">
        <v>49</v>
      </c>
      <c r="Q186" s="28" t="s">
        <v>49</v>
      </c>
      <c r="R186" s="28" t="s">
        <v>49</v>
      </c>
      <c r="S186" s="28" t="s">
        <v>49</v>
      </c>
      <c r="T186" s="28" t="s">
        <v>49</v>
      </c>
      <c r="U186" s="28" t="s">
        <v>49</v>
      </c>
      <c r="V186" s="17">
        <f>IF($B186="","",COUNTIF(G186:U186,"OK"))</f>
        <v>14.0</v>
      </c>
      <c r="W186" s="17">
        <f>IF($B186="","",COUNTIF(G186:U186,"NOK"))</f>
        <v>0.0</v>
      </c>
      <c r="X186" s="9">
        <f>IF($B186="","",IF(V186+W186=0,"",V186/(V186+W186)))</f>
        <v>1.0</v>
      </c>
      <c r="Y186" s="17" t="str">
        <f>IF(X186="","",IF(X186&gt;=Setup!$C$7,"PASS","FAIL"))</f>
        <v>PASS</v>
      </c>
      <c r="Z186" s="17">
        <f>IF($B186="","",IF(W186=0,"",IF(COUNTIF(Findings!$B$6:$B$305,$A186)&gt;=W186,"OK","LOG FINDING")))</f>
        <v/>
      </c>
    </row>
    <row r="187" spans="1:26">
      <c r="A187" s="17" t="str">
        <f>IF($B187="","","A-1182")</f>
        <v>A-1182</v>
      </c>
      <c r="B187" s="24">
        <v>46297</v>
      </c>
      <c r="C187" s="23" t="s">
        <v>27</v>
      </c>
      <c r="D187" s="28" t="s">
        <v>14</v>
      </c>
      <c r="E187" s="23" t="s">
        <v>32</v>
      </c>
      <c r="F187" s="23" t="s">
        <v>44</v>
      </c>
      <c r="G187" s="28" t="s">
        <v>49</v>
      </c>
      <c r="H187" s="28" t="s">
        <v>49</v>
      </c>
      <c r="I187" s="28" t="s">
        <v>49</v>
      </c>
      <c r="J187" s="28" t="s">
        <v>51</v>
      </c>
      <c r="K187" s="28" t="s">
        <v>49</v>
      </c>
      <c r="L187" s="28" t="s">
        <v>49</v>
      </c>
      <c r="M187" s="28" t="s">
        <v>49</v>
      </c>
      <c r="N187" s="28" t="s">
        <v>49</v>
      </c>
      <c r="O187" s="28" t="s">
        <v>49</v>
      </c>
      <c r="P187" s="28" t="s">
        <v>49</v>
      </c>
      <c r="Q187" s="28" t="s">
        <v>51</v>
      </c>
      <c r="R187" s="28" t="s">
        <v>49</v>
      </c>
      <c r="S187" s="28" t="s">
        <v>49</v>
      </c>
      <c r="T187" s="28" t="s">
        <v>49</v>
      </c>
      <c r="U187" s="28" t="s">
        <v>49</v>
      </c>
      <c r="V187" s="17">
        <f>IF($B187="","",COUNTIF(G187:U187,"OK"))</f>
        <v>13.0</v>
      </c>
      <c r="W187" s="17">
        <f>IF($B187="","",COUNTIF(G187:U187,"NOK"))</f>
        <v>0.0</v>
      </c>
      <c r="X187" s="9">
        <f>IF($B187="","",IF(V187+W187=0,"",V187/(V187+W187)))</f>
        <v>1.0</v>
      </c>
      <c r="Y187" s="17" t="str">
        <f>IF(X187="","",IF(X187&gt;=Setup!$C$7,"PASS","FAIL"))</f>
        <v>PASS</v>
      </c>
      <c r="Z187" s="17">
        <f>IF($B187="","",IF(W187=0,"",IF(COUNTIF(Findings!$B$6:$B$305,$A187)&gt;=W187,"OK","LOG FINDING")))</f>
        <v/>
      </c>
    </row>
    <row r="188" spans="1:26">
      <c r="A188" s="17" t="str">
        <f>IF($B188="","","A-1183")</f>
        <v>A-1183</v>
      </c>
      <c r="B188" s="24">
        <v>46297</v>
      </c>
      <c r="C188" s="23" t="s">
        <v>22</v>
      </c>
      <c r="D188" s="28" t="s">
        <v>16</v>
      </c>
      <c r="E188" s="23" t="s">
        <v>36</v>
      </c>
      <c r="F188" s="23" t="s">
        <v>44</v>
      </c>
      <c r="G188" s="28" t="s">
        <v>49</v>
      </c>
      <c r="H188" s="28" t="s">
        <v>49</v>
      </c>
      <c r="I188" s="28" t="s">
        <v>49</v>
      </c>
      <c r="J188" s="28" t="s">
        <v>49</v>
      </c>
      <c r="K188" s="28" t="s">
        <v>49</v>
      </c>
      <c r="L188" s="28" t="s">
        <v>49</v>
      </c>
      <c r="M188" s="28" t="s">
        <v>49</v>
      </c>
      <c r="N188" s="28" t="s">
        <v>49</v>
      </c>
      <c r="O188" s="28" t="s">
        <v>49</v>
      </c>
      <c r="P188" s="28" t="s">
        <v>49</v>
      </c>
      <c r="Q188" s="28" t="s">
        <v>49</v>
      </c>
      <c r="R188" s="28" t="s">
        <v>49</v>
      </c>
      <c r="S188" s="28" t="s">
        <v>49</v>
      </c>
      <c r="T188" s="28" t="s">
        <v>49</v>
      </c>
      <c r="U188" s="28" t="s">
        <v>49</v>
      </c>
      <c r="V188" s="17">
        <f>IF($B188="","",COUNTIF(G188:U188,"OK"))</f>
        <v>15.0</v>
      </c>
      <c r="W188" s="17">
        <f>IF($B188="","",COUNTIF(G188:U188,"NOK"))</f>
        <v>0.0</v>
      </c>
      <c r="X188" s="9">
        <f>IF($B188="","",IF(V188+W188=0,"",V188/(V188+W188)))</f>
        <v>1.0</v>
      </c>
      <c r="Y188" s="17" t="str">
        <f>IF(X188="","",IF(X188&gt;=Setup!$C$7,"PASS","FAIL"))</f>
        <v>PASS</v>
      </c>
      <c r="Z188" s="17">
        <f>IF($B188="","",IF(W188=0,"",IF(COUNTIF(Findings!$B$6:$B$305,$A188)&gt;=W188,"OK","LOG FINDING")))</f>
        <v/>
      </c>
    </row>
    <row r="189" spans="1:26">
      <c r="A189" s="17" t="str">
        <f>IF($B189="","","A-1184")</f>
        <v>A-1184</v>
      </c>
      <c r="B189" s="24">
        <v>46301</v>
      </c>
      <c r="C189" s="23" t="s">
        <v>24</v>
      </c>
      <c r="D189" s="28" t="s">
        <v>16</v>
      </c>
      <c r="E189" s="23" t="s">
        <v>36</v>
      </c>
      <c r="F189" s="23" t="s">
        <v>43</v>
      </c>
      <c r="G189" s="28" t="s">
        <v>49</v>
      </c>
      <c r="H189" s="28" t="s">
        <v>49</v>
      </c>
      <c r="I189" s="28" t="s">
        <v>49</v>
      </c>
      <c r="J189" s="28" t="s">
        <v>51</v>
      </c>
      <c r="K189" s="28" t="s">
        <v>49</v>
      </c>
      <c r="L189" s="28" t="s">
        <v>49</v>
      </c>
      <c r="M189" s="28" t="s">
        <v>49</v>
      </c>
      <c r="N189" s="28" t="s">
        <v>49</v>
      </c>
      <c r="O189" s="28" t="s">
        <v>49</v>
      </c>
      <c r="P189" s="28" t="s">
        <v>49</v>
      </c>
      <c r="Q189" s="28" t="s">
        <v>49</v>
      </c>
      <c r="R189" s="28" t="s">
        <v>49</v>
      </c>
      <c r="S189" s="28" t="s">
        <v>49</v>
      </c>
      <c r="T189" s="28" t="s">
        <v>50</v>
      </c>
      <c r="U189" s="28" t="s">
        <v>49</v>
      </c>
      <c r="V189" s="17">
        <f>IF($B189="","",COUNTIF(G189:U189,"OK"))</f>
        <v>13.0</v>
      </c>
      <c r="W189" s="17">
        <f>IF($B189="","",COUNTIF(G189:U189,"NOK"))</f>
        <v>1.0</v>
      </c>
      <c r="X189" s="9">
        <f>IF($B189="","",IF(V189+W189=0,"",V189/(V189+W189)))</f>
        <v>0.9285714285714286</v>
      </c>
      <c r="Y189" s="17" t="str">
        <f>IF(X189="","",IF(X189&gt;=Setup!$C$7,"PASS","FAIL"))</f>
        <v>FAIL</v>
      </c>
      <c r="Z189" s="17" t="str">
        <f>IF($B189="","",IF(W189=0,"",IF(COUNTIF(Findings!$B$6:$B$305,$A189)&gt;=W189,"OK","LOG FINDING")))</f>
        <v>OK</v>
      </c>
    </row>
    <row r="190" spans="1:26">
      <c r="A190" s="17" t="str">
        <f>IF($B190="","","A-1185")</f>
        <v>A-1185</v>
      </c>
      <c r="B190" s="24">
        <v>46303</v>
      </c>
      <c r="C190" s="23" t="s">
        <v>24</v>
      </c>
      <c r="D190" s="28" t="s">
        <v>14</v>
      </c>
      <c r="E190" s="23" t="s">
        <v>32</v>
      </c>
      <c r="F190" s="23" t="s">
        <v>43</v>
      </c>
      <c r="G190" s="28" t="s">
        <v>49</v>
      </c>
      <c r="H190" s="28" t="s">
        <v>49</v>
      </c>
      <c r="I190" s="28" t="s">
        <v>49</v>
      </c>
      <c r="J190" s="28" t="s">
        <v>49</v>
      </c>
      <c r="K190" s="28" t="s">
        <v>49</v>
      </c>
      <c r="L190" s="28" t="s">
        <v>49</v>
      </c>
      <c r="M190" s="28" t="s">
        <v>49</v>
      </c>
      <c r="N190" s="28" t="s">
        <v>49</v>
      </c>
      <c r="O190" s="28" t="s">
        <v>49</v>
      </c>
      <c r="P190" s="28" t="s">
        <v>49</v>
      </c>
      <c r="Q190" s="28" t="s">
        <v>51</v>
      </c>
      <c r="R190" s="28" t="s">
        <v>49</v>
      </c>
      <c r="S190" s="28" t="s">
        <v>49</v>
      </c>
      <c r="T190" s="28" t="s">
        <v>49</v>
      </c>
      <c r="U190" s="28" t="s">
        <v>49</v>
      </c>
      <c r="V190" s="17">
        <f>IF($B190="","",COUNTIF(G190:U190,"OK"))</f>
        <v>14.0</v>
      </c>
      <c r="W190" s="17">
        <f>IF($B190="","",COUNTIF(G190:U190,"NOK"))</f>
        <v>0.0</v>
      </c>
      <c r="X190" s="9">
        <f>IF($B190="","",IF(V190+W190=0,"",V190/(V190+W190)))</f>
        <v>1.0</v>
      </c>
      <c r="Y190" s="17" t="str">
        <f>IF(X190="","",IF(X190&gt;=Setup!$C$7,"PASS","FAIL"))</f>
        <v>PASS</v>
      </c>
      <c r="Z190" s="17">
        <f>IF($B190="","",IF(W190=0,"",IF(COUNTIF(Findings!$B$6:$B$305,$A190)&gt;=W190,"OK","LOG FINDING")))</f>
        <v/>
      </c>
    </row>
    <row r="191" spans="1:26">
      <c r="A191" s="17" t="str">
        <f>IF($B191="","","A-1186")</f>
        <v>A-1186</v>
      </c>
      <c r="B191" s="24">
        <v>46303</v>
      </c>
      <c r="C191" s="23" t="s">
        <v>26</v>
      </c>
      <c r="D191" s="28" t="s">
        <v>14</v>
      </c>
      <c r="E191" s="23" t="s">
        <v>33</v>
      </c>
      <c r="F191" s="23" t="s">
        <v>43</v>
      </c>
      <c r="G191" s="28" t="s">
        <v>49</v>
      </c>
      <c r="H191" s="28" t="s">
        <v>49</v>
      </c>
      <c r="I191" s="28" t="s">
        <v>49</v>
      </c>
      <c r="J191" s="28" t="s">
        <v>49</v>
      </c>
      <c r="K191" s="28" t="s">
        <v>49</v>
      </c>
      <c r="L191" s="28" t="s">
        <v>49</v>
      </c>
      <c r="M191" s="28" t="s">
        <v>49</v>
      </c>
      <c r="N191" s="28" t="s">
        <v>49</v>
      </c>
      <c r="O191" s="28" t="s">
        <v>49</v>
      </c>
      <c r="P191" s="28" t="s">
        <v>49</v>
      </c>
      <c r="Q191" s="28" t="s">
        <v>49</v>
      </c>
      <c r="R191" s="28" t="s">
        <v>49</v>
      </c>
      <c r="S191" s="28" t="s">
        <v>49</v>
      </c>
      <c r="T191" s="28" t="s">
        <v>49</v>
      </c>
      <c r="U191" s="28" t="s">
        <v>49</v>
      </c>
      <c r="V191" s="17">
        <f>IF($B191="","",COUNTIF(G191:U191,"OK"))</f>
        <v>15.0</v>
      </c>
      <c r="W191" s="17">
        <f>IF($B191="","",COUNTIF(G191:U191,"NOK"))</f>
        <v>0.0</v>
      </c>
      <c r="X191" s="9">
        <f>IF($B191="","",IF(V191+W191=0,"",V191/(V191+W191)))</f>
        <v>1.0</v>
      </c>
      <c r="Y191" s="17" t="str">
        <f>IF(X191="","",IF(X191&gt;=Setup!$C$7,"PASS","FAIL"))</f>
        <v>PASS</v>
      </c>
      <c r="Z191" s="17">
        <f>IF($B191="","",IF(W191=0,"",IF(COUNTIF(Findings!$B$6:$B$305,$A191)&gt;=W191,"OK","LOG FINDING")))</f>
        <v/>
      </c>
    </row>
    <row r="192" spans="1:26">
      <c r="A192" s="17" t="str">
        <f>IF($B192="","","A-1187")</f>
        <v>A-1187</v>
      </c>
      <c r="B192" s="24">
        <v>46308</v>
      </c>
      <c r="C192" s="23" t="s">
        <v>26</v>
      </c>
      <c r="D192" s="28" t="s">
        <v>16</v>
      </c>
      <c r="E192" s="23" t="s">
        <v>36</v>
      </c>
      <c r="F192" s="23" t="s">
        <v>44</v>
      </c>
      <c r="G192" s="28" t="s">
        <v>49</v>
      </c>
      <c r="H192" s="28" t="s">
        <v>49</v>
      </c>
      <c r="I192" s="28" t="s">
        <v>49</v>
      </c>
      <c r="J192" s="28" t="s">
        <v>49</v>
      </c>
      <c r="K192" s="28" t="s">
        <v>49</v>
      </c>
      <c r="L192" s="28" t="s">
        <v>49</v>
      </c>
      <c r="M192" s="28" t="s">
        <v>49</v>
      </c>
      <c r="N192" s="28" t="s">
        <v>49</v>
      </c>
      <c r="O192" s="28" t="s">
        <v>49</v>
      </c>
      <c r="P192" s="28" t="s">
        <v>49</v>
      </c>
      <c r="Q192" s="28" t="s">
        <v>51</v>
      </c>
      <c r="R192" s="28" t="s">
        <v>49</v>
      </c>
      <c r="S192" s="28" t="s">
        <v>49</v>
      </c>
      <c r="T192" s="28" t="s">
        <v>49</v>
      </c>
      <c r="U192" s="28" t="s">
        <v>49</v>
      </c>
      <c r="V192" s="17">
        <f>IF($B192="","",COUNTIF(G192:U192,"OK"))</f>
        <v>14.0</v>
      </c>
      <c r="W192" s="17">
        <f>IF($B192="","",COUNTIF(G192:U192,"NOK"))</f>
        <v>0.0</v>
      </c>
      <c r="X192" s="9">
        <f>IF($B192="","",IF(V192+W192=0,"",V192/(V192+W192)))</f>
        <v>1.0</v>
      </c>
      <c r="Y192" s="17" t="str">
        <f>IF(X192="","",IF(X192&gt;=Setup!$C$7,"PASS","FAIL"))</f>
        <v>PASS</v>
      </c>
      <c r="Z192" s="17">
        <f>IF($B192="","",IF(W192=0,"",IF(COUNTIF(Findings!$B$6:$B$305,$A192)&gt;=W192,"OK","LOG FINDING")))</f>
        <v/>
      </c>
    </row>
    <row r="193" spans="1:26">
      <c r="A193" s="17" t="str">
        <f>IF($B193="","","A-1188")</f>
        <v>A-1188</v>
      </c>
      <c r="B193" s="24">
        <v>46311</v>
      </c>
      <c r="C193" s="23" t="s">
        <v>23</v>
      </c>
      <c r="D193" s="28" t="s">
        <v>14</v>
      </c>
      <c r="E193" s="23" t="s">
        <v>34</v>
      </c>
      <c r="F193" s="23" t="s">
        <v>43</v>
      </c>
      <c r="G193" s="28" t="s">
        <v>49</v>
      </c>
      <c r="H193" s="28" t="s">
        <v>49</v>
      </c>
      <c r="I193" s="28" t="s">
        <v>49</v>
      </c>
      <c r="J193" s="28" t="s">
        <v>49</v>
      </c>
      <c r="K193" s="28" t="s">
        <v>49</v>
      </c>
      <c r="L193" s="28" t="s">
        <v>49</v>
      </c>
      <c r="M193" s="28" t="s">
        <v>49</v>
      </c>
      <c r="N193" s="28" t="s">
        <v>49</v>
      </c>
      <c r="O193" s="28" t="s">
        <v>49</v>
      </c>
      <c r="P193" s="28" t="s">
        <v>49</v>
      </c>
      <c r="Q193" s="28" t="s">
        <v>49</v>
      </c>
      <c r="R193" s="28" t="s">
        <v>49</v>
      </c>
      <c r="S193" s="28" t="s">
        <v>49</v>
      </c>
      <c r="T193" s="28" t="s">
        <v>49</v>
      </c>
      <c r="U193" s="28" t="s">
        <v>49</v>
      </c>
      <c r="V193" s="17">
        <f>IF($B193="","",COUNTIF(G193:U193,"OK"))</f>
        <v>15.0</v>
      </c>
      <c r="W193" s="17">
        <f>IF($B193="","",COUNTIF(G193:U193,"NOK"))</f>
        <v>0.0</v>
      </c>
      <c r="X193" s="9">
        <f>IF($B193="","",IF(V193+W193=0,"",V193/(V193+W193)))</f>
        <v>1.0</v>
      </c>
      <c r="Y193" s="17" t="str">
        <f>IF(X193="","",IF(X193&gt;=Setup!$C$7,"PASS","FAIL"))</f>
        <v>PASS</v>
      </c>
      <c r="Z193" s="17">
        <f>IF($B193="","",IF(W193=0,"",IF(COUNTIF(Findings!$B$6:$B$305,$A193)&gt;=W193,"OK","LOG FINDING")))</f>
        <v/>
      </c>
    </row>
    <row r="194" spans="1:26">
      <c r="A194" s="17" t="str">
        <f>IF($B194="","","A-1189")</f>
        <v>A-1189</v>
      </c>
      <c r="B194" s="24">
        <v>46311</v>
      </c>
      <c r="C194" s="23" t="s">
        <v>25</v>
      </c>
      <c r="D194" s="28" t="s">
        <v>14</v>
      </c>
      <c r="E194" s="23" t="s">
        <v>34</v>
      </c>
      <c r="F194" s="23" t="s">
        <v>43</v>
      </c>
      <c r="G194" s="28" t="s">
        <v>49</v>
      </c>
      <c r="H194" s="28" t="s">
        <v>49</v>
      </c>
      <c r="I194" s="28" t="s">
        <v>49</v>
      </c>
      <c r="J194" s="28" t="s">
        <v>49</v>
      </c>
      <c r="K194" s="28" t="s">
        <v>49</v>
      </c>
      <c r="L194" s="28" t="s">
        <v>49</v>
      </c>
      <c r="M194" s="28" t="s">
        <v>49</v>
      </c>
      <c r="N194" s="28" t="s">
        <v>49</v>
      </c>
      <c r="O194" s="28" t="s">
        <v>49</v>
      </c>
      <c r="P194" s="28" t="s">
        <v>49</v>
      </c>
      <c r="Q194" s="28" t="s">
        <v>50</v>
      </c>
      <c r="R194" s="28" t="s">
        <v>49</v>
      </c>
      <c r="S194" s="28" t="s">
        <v>49</v>
      </c>
      <c r="T194" s="28" t="s">
        <v>49</v>
      </c>
      <c r="U194" s="28" t="s">
        <v>49</v>
      </c>
      <c r="V194" s="17">
        <f>IF($B194="","",COUNTIF(G194:U194,"OK"))</f>
        <v>14.0</v>
      </c>
      <c r="W194" s="17">
        <f>IF($B194="","",COUNTIF(G194:U194,"NOK"))</f>
        <v>1.0</v>
      </c>
      <c r="X194" s="9">
        <f>IF($B194="","",IF(V194+W194=0,"",V194/(V194+W194)))</f>
        <v>0.9333333333333333</v>
      </c>
      <c r="Y194" s="17" t="str">
        <f>IF(X194="","",IF(X194&gt;=Setup!$C$7,"PASS","FAIL"))</f>
        <v>FAIL</v>
      </c>
      <c r="Z194" s="17" t="str">
        <f>IF($B194="","",IF(W194=0,"",IF(COUNTIF(Findings!$B$6:$B$305,$A194)&gt;=W194,"OK","LOG FINDING")))</f>
        <v>OK</v>
      </c>
    </row>
    <row r="195" spans="1:26">
      <c r="A195" s="17">
        <f>IF($B195="","","A-1190")</f>
        <v/>
      </c>
      <c r="B195" s="24"/>
      <c r="C195" s="23"/>
      <c r="D195" s="28"/>
      <c r="E195" s="23"/>
      <c r="F195" s="23"/>
      <c r="G195" s="28"/>
      <c r="H195" s="28"/>
      <c r="I195" s="28"/>
      <c r="J195" s="28"/>
      <c r="K195" s="28"/>
      <c r="L195" s="28"/>
      <c r="M195" s="28"/>
      <c r="N195" s="28"/>
      <c r="O195" s="28"/>
      <c r="P195" s="28"/>
      <c r="Q195" s="28"/>
      <c r="R195" s="28"/>
      <c r="S195" s="28"/>
      <c r="T195" s="28"/>
      <c r="U195" s="28"/>
      <c r="V195" s="17">
        <f>IF($B195="","",COUNTIF(G195:U195,"OK"))</f>
        <v/>
      </c>
      <c r="W195" s="17">
        <f>IF($B195="","",COUNTIF(G195:U195,"NOK"))</f>
        <v/>
      </c>
      <c r="X195" s="9">
        <f>IF($B195="","",IF(V195+W195=0,"",V195/(V195+W195)))</f>
        <v/>
      </c>
      <c r="Y195" s="17">
        <f>IF(X195="","",IF(X195&gt;=Setup!$C$7,"PASS","FAIL"))</f>
        <v/>
      </c>
      <c r="Z195" s="17">
        <f>IF($B195="","",IF(W195=0,"",IF(COUNTIF(Findings!$B$6:$B$305,$A195)&gt;=W195,"OK","LOG FINDING")))</f>
        <v/>
      </c>
    </row>
    <row r="196" spans="1:26">
      <c r="A196" s="17">
        <f>IF($B196="","","A-1191")</f>
        <v/>
      </c>
      <c r="B196" s="24"/>
      <c r="C196" s="23"/>
      <c r="D196" s="28"/>
      <c r="E196" s="23"/>
      <c r="F196" s="23"/>
      <c r="G196" s="28"/>
      <c r="H196" s="28"/>
      <c r="I196" s="28"/>
      <c r="J196" s="28"/>
      <c r="K196" s="28"/>
      <c r="L196" s="28"/>
      <c r="M196" s="28"/>
      <c r="N196" s="28"/>
      <c r="O196" s="28"/>
      <c r="P196" s="28"/>
      <c r="Q196" s="28"/>
      <c r="R196" s="28"/>
      <c r="S196" s="28"/>
      <c r="T196" s="28"/>
      <c r="U196" s="28"/>
      <c r="V196" s="17">
        <f>IF($B196="","",COUNTIF(G196:U196,"OK"))</f>
        <v/>
      </c>
      <c r="W196" s="17">
        <f>IF($B196="","",COUNTIF(G196:U196,"NOK"))</f>
        <v/>
      </c>
      <c r="X196" s="9">
        <f>IF($B196="","",IF(V196+W196=0,"",V196/(V196+W196)))</f>
        <v/>
      </c>
      <c r="Y196" s="17">
        <f>IF(X196="","",IF(X196&gt;=Setup!$C$7,"PASS","FAIL"))</f>
        <v/>
      </c>
      <c r="Z196" s="17">
        <f>IF($B196="","",IF(W196=0,"",IF(COUNTIF(Findings!$B$6:$B$305,$A196)&gt;=W196,"OK","LOG FINDING")))</f>
        <v/>
      </c>
    </row>
    <row r="197" spans="1:26">
      <c r="A197" s="17">
        <f>IF($B197="","","A-1192")</f>
        <v/>
      </c>
      <c r="B197" s="24"/>
      <c r="C197" s="23"/>
      <c r="D197" s="28"/>
      <c r="E197" s="23"/>
      <c r="F197" s="23"/>
      <c r="G197" s="28"/>
      <c r="H197" s="28"/>
      <c r="I197" s="28"/>
      <c r="J197" s="28"/>
      <c r="K197" s="28"/>
      <c r="L197" s="28"/>
      <c r="M197" s="28"/>
      <c r="N197" s="28"/>
      <c r="O197" s="28"/>
      <c r="P197" s="28"/>
      <c r="Q197" s="28"/>
      <c r="R197" s="28"/>
      <c r="S197" s="28"/>
      <c r="T197" s="28"/>
      <c r="U197" s="28"/>
      <c r="V197" s="17">
        <f>IF($B197="","",COUNTIF(G197:U197,"OK"))</f>
        <v/>
      </c>
      <c r="W197" s="17">
        <f>IF($B197="","",COUNTIF(G197:U197,"NOK"))</f>
        <v/>
      </c>
      <c r="X197" s="9">
        <f>IF($B197="","",IF(V197+W197=0,"",V197/(V197+W197)))</f>
        <v/>
      </c>
      <c r="Y197" s="17">
        <f>IF(X197="","",IF(X197&gt;=Setup!$C$7,"PASS","FAIL"))</f>
        <v/>
      </c>
      <c r="Z197" s="17">
        <f>IF($B197="","",IF(W197=0,"",IF(COUNTIF(Findings!$B$6:$B$305,$A197)&gt;=W197,"OK","LOG FINDING")))</f>
        <v/>
      </c>
    </row>
    <row r="198" spans="1:26">
      <c r="A198" s="17">
        <f>IF($B198="","","A-1193")</f>
        <v/>
      </c>
      <c r="B198" s="24"/>
      <c r="C198" s="23"/>
      <c r="D198" s="28"/>
      <c r="E198" s="23"/>
      <c r="F198" s="23"/>
      <c r="G198" s="28"/>
      <c r="H198" s="28"/>
      <c r="I198" s="28"/>
      <c r="J198" s="28"/>
      <c r="K198" s="28"/>
      <c r="L198" s="28"/>
      <c r="M198" s="28"/>
      <c r="N198" s="28"/>
      <c r="O198" s="28"/>
      <c r="P198" s="28"/>
      <c r="Q198" s="28"/>
      <c r="R198" s="28"/>
      <c r="S198" s="28"/>
      <c r="T198" s="28"/>
      <c r="U198" s="28"/>
      <c r="V198" s="17">
        <f>IF($B198="","",COUNTIF(G198:U198,"OK"))</f>
        <v/>
      </c>
      <c r="W198" s="17">
        <f>IF($B198="","",COUNTIF(G198:U198,"NOK"))</f>
        <v/>
      </c>
      <c r="X198" s="9">
        <f>IF($B198="","",IF(V198+W198=0,"",V198/(V198+W198)))</f>
        <v/>
      </c>
      <c r="Y198" s="17">
        <f>IF(X198="","",IF(X198&gt;=Setup!$C$7,"PASS","FAIL"))</f>
        <v/>
      </c>
      <c r="Z198" s="17">
        <f>IF($B198="","",IF(W198=0,"",IF(COUNTIF(Findings!$B$6:$B$305,$A198)&gt;=W198,"OK","LOG FINDING")))</f>
        <v/>
      </c>
    </row>
    <row r="199" spans="1:26">
      <c r="A199" s="17">
        <f>IF($B199="","","A-1194")</f>
        <v/>
      </c>
      <c r="B199" s="24"/>
      <c r="C199" s="23"/>
      <c r="D199" s="28"/>
      <c r="E199" s="23"/>
      <c r="F199" s="23"/>
      <c r="G199" s="28"/>
      <c r="H199" s="28"/>
      <c r="I199" s="28"/>
      <c r="J199" s="28"/>
      <c r="K199" s="28"/>
      <c r="L199" s="28"/>
      <c r="M199" s="28"/>
      <c r="N199" s="28"/>
      <c r="O199" s="28"/>
      <c r="P199" s="28"/>
      <c r="Q199" s="28"/>
      <c r="R199" s="28"/>
      <c r="S199" s="28"/>
      <c r="T199" s="28"/>
      <c r="U199" s="28"/>
      <c r="V199" s="17">
        <f>IF($B199="","",COUNTIF(G199:U199,"OK"))</f>
        <v/>
      </c>
      <c r="W199" s="17">
        <f>IF($B199="","",COUNTIF(G199:U199,"NOK"))</f>
        <v/>
      </c>
      <c r="X199" s="9">
        <f>IF($B199="","",IF(V199+W199=0,"",V199/(V199+W199)))</f>
        <v/>
      </c>
      <c r="Y199" s="17">
        <f>IF(X199="","",IF(X199&gt;=Setup!$C$7,"PASS","FAIL"))</f>
        <v/>
      </c>
      <c r="Z199" s="17">
        <f>IF($B199="","",IF(W199=0,"",IF(COUNTIF(Findings!$B$6:$B$305,$A199)&gt;=W199,"OK","LOG FINDING")))</f>
        <v/>
      </c>
    </row>
    <row r="200" spans="1:26">
      <c r="A200" s="17">
        <f>IF($B200="","","A-1195")</f>
        <v/>
      </c>
      <c r="B200" s="24"/>
      <c r="C200" s="23"/>
      <c r="D200" s="28"/>
      <c r="E200" s="23"/>
      <c r="F200" s="23"/>
      <c r="G200" s="28"/>
      <c r="H200" s="28"/>
      <c r="I200" s="28"/>
      <c r="J200" s="28"/>
      <c r="K200" s="28"/>
      <c r="L200" s="28"/>
      <c r="M200" s="28"/>
      <c r="N200" s="28"/>
      <c r="O200" s="28"/>
      <c r="P200" s="28"/>
      <c r="Q200" s="28"/>
      <c r="R200" s="28"/>
      <c r="S200" s="28"/>
      <c r="T200" s="28"/>
      <c r="U200" s="28"/>
      <c r="V200" s="17">
        <f>IF($B200="","",COUNTIF(G200:U200,"OK"))</f>
        <v/>
      </c>
      <c r="W200" s="17">
        <f>IF($B200="","",COUNTIF(G200:U200,"NOK"))</f>
        <v/>
      </c>
      <c r="X200" s="9">
        <f>IF($B200="","",IF(V200+W200=0,"",V200/(V200+W200)))</f>
        <v/>
      </c>
      <c r="Y200" s="17">
        <f>IF(X200="","",IF(X200&gt;=Setup!$C$7,"PASS","FAIL"))</f>
        <v/>
      </c>
      <c r="Z200" s="17">
        <f>IF($B200="","",IF(W200=0,"",IF(COUNTIF(Findings!$B$6:$B$305,$A200)&gt;=W200,"OK","LOG FINDING")))</f>
        <v/>
      </c>
    </row>
    <row r="201" spans="1:26">
      <c r="A201" s="17">
        <f>IF($B201="","","A-1196")</f>
        <v/>
      </c>
      <c r="B201" s="24"/>
      <c r="C201" s="23"/>
      <c r="D201" s="28"/>
      <c r="E201" s="23"/>
      <c r="F201" s="23"/>
      <c r="G201" s="28"/>
      <c r="H201" s="28"/>
      <c r="I201" s="28"/>
      <c r="J201" s="28"/>
      <c r="K201" s="28"/>
      <c r="L201" s="28"/>
      <c r="M201" s="28"/>
      <c r="N201" s="28"/>
      <c r="O201" s="28"/>
      <c r="P201" s="28"/>
      <c r="Q201" s="28"/>
      <c r="R201" s="28"/>
      <c r="S201" s="28"/>
      <c r="T201" s="28"/>
      <c r="U201" s="28"/>
      <c r="V201" s="17">
        <f>IF($B201="","",COUNTIF(G201:U201,"OK"))</f>
        <v/>
      </c>
      <c r="W201" s="17">
        <f>IF($B201="","",COUNTIF(G201:U201,"NOK"))</f>
        <v/>
      </c>
      <c r="X201" s="9">
        <f>IF($B201="","",IF(V201+W201=0,"",V201/(V201+W201)))</f>
        <v/>
      </c>
      <c r="Y201" s="17">
        <f>IF(X201="","",IF(X201&gt;=Setup!$C$7,"PASS","FAIL"))</f>
        <v/>
      </c>
      <c r="Z201" s="17">
        <f>IF($B201="","",IF(W201=0,"",IF(COUNTIF(Findings!$B$6:$B$305,$A201)&gt;=W201,"OK","LOG FINDING")))</f>
        <v/>
      </c>
    </row>
    <row r="202" spans="1:26">
      <c r="A202" s="17">
        <f>IF($B202="","","A-1197")</f>
        <v/>
      </c>
      <c r="B202" s="24"/>
      <c r="C202" s="23"/>
      <c r="D202" s="28"/>
      <c r="E202" s="23"/>
      <c r="F202" s="23"/>
      <c r="G202" s="28"/>
      <c r="H202" s="28"/>
      <c r="I202" s="28"/>
      <c r="J202" s="28"/>
      <c r="K202" s="28"/>
      <c r="L202" s="28"/>
      <c r="M202" s="28"/>
      <c r="N202" s="28"/>
      <c r="O202" s="28"/>
      <c r="P202" s="28"/>
      <c r="Q202" s="28"/>
      <c r="R202" s="28"/>
      <c r="S202" s="28"/>
      <c r="T202" s="28"/>
      <c r="U202" s="28"/>
      <c r="V202" s="17">
        <f>IF($B202="","",COUNTIF(G202:U202,"OK"))</f>
        <v/>
      </c>
      <c r="W202" s="17">
        <f>IF($B202="","",COUNTIF(G202:U202,"NOK"))</f>
        <v/>
      </c>
      <c r="X202" s="9">
        <f>IF($B202="","",IF(V202+W202=0,"",V202/(V202+W202)))</f>
        <v/>
      </c>
      <c r="Y202" s="17">
        <f>IF(X202="","",IF(X202&gt;=Setup!$C$7,"PASS","FAIL"))</f>
        <v/>
      </c>
      <c r="Z202" s="17">
        <f>IF($B202="","",IF(W202=0,"",IF(COUNTIF(Findings!$B$6:$B$305,$A202)&gt;=W202,"OK","LOG FINDING")))</f>
        <v/>
      </c>
    </row>
    <row r="203" spans="1:26">
      <c r="A203" s="17">
        <f>IF($B203="","","A-1198")</f>
        <v/>
      </c>
      <c r="B203" s="24"/>
      <c r="C203" s="23"/>
      <c r="D203" s="28"/>
      <c r="E203" s="23"/>
      <c r="F203" s="23"/>
      <c r="G203" s="28"/>
      <c r="H203" s="28"/>
      <c r="I203" s="28"/>
      <c r="J203" s="28"/>
      <c r="K203" s="28"/>
      <c r="L203" s="28"/>
      <c r="M203" s="28"/>
      <c r="N203" s="28"/>
      <c r="O203" s="28"/>
      <c r="P203" s="28"/>
      <c r="Q203" s="28"/>
      <c r="R203" s="28"/>
      <c r="S203" s="28"/>
      <c r="T203" s="28"/>
      <c r="U203" s="28"/>
      <c r="V203" s="17">
        <f>IF($B203="","",COUNTIF(G203:U203,"OK"))</f>
        <v/>
      </c>
      <c r="W203" s="17">
        <f>IF($B203="","",COUNTIF(G203:U203,"NOK"))</f>
        <v/>
      </c>
      <c r="X203" s="9">
        <f>IF($B203="","",IF(V203+W203=0,"",V203/(V203+W203)))</f>
        <v/>
      </c>
      <c r="Y203" s="17">
        <f>IF(X203="","",IF(X203&gt;=Setup!$C$7,"PASS","FAIL"))</f>
        <v/>
      </c>
      <c r="Z203" s="17">
        <f>IF($B203="","",IF(W203=0,"",IF(COUNTIF(Findings!$B$6:$B$305,$A203)&gt;=W203,"OK","LOG FINDING")))</f>
        <v/>
      </c>
    </row>
    <row r="204" spans="1:26">
      <c r="A204" s="17">
        <f>IF($B204="","","A-1199")</f>
        <v/>
      </c>
      <c r="B204" s="24"/>
      <c r="C204" s="23"/>
      <c r="D204" s="28"/>
      <c r="E204" s="23"/>
      <c r="F204" s="23"/>
      <c r="G204" s="28"/>
      <c r="H204" s="28"/>
      <c r="I204" s="28"/>
      <c r="J204" s="28"/>
      <c r="K204" s="28"/>
      <c r="L204" s="28"/>
      <c r="M204" s="28"/>
      <c r="N204" s="28"/>
      <c r="O204" s="28"/>
      <c r="P204" s="28"/>
      <c r="Q204" s="28"/>
      <c r="R204" s="28"/>
      <c r="S204" s="28"/>
      <c r="T204" s="28"/>
      <c r="U204" s="28"/>
      <c r="V204" s="17">
        <f>IF($B204="","",COUNTIF(G204:U204,"OK"))</f>
        <v/>
      </c>
      <c r="W204" s="17">
        <f>IF($B204="","",COUNTIF(G204:U204,"NOK"))</f>
        <v/>
      </c>
      <c r="X204" s="9">
        <f>IF($B204="","",IF(V204+W204=0,"",V204/(V204+W204)))</f>
        <v/>
      </c>
      <c r="Y204" s="17">
        <f>IF(X204="","",IF(X204&gt;=Setup!$C$7,"PASS","FAIL"))</f>
        <v/>
      </c>
      <c r="Z204" s="17">
        <f>IF($B204="","",IF(W204=0,"",IF(COUNTIF(Findings!$B$6:$B$305,$A204)&gt;=W204,"OK","LOG FINDING")))</f>
        <v/>
      </c>
    </row>
    <row r="205" spans="1:26">
      <c r="A205" s="17">
        <f>IF($B205="","","A-1200")</f>
        <v/>
      </c>
      <c r="B205" s="24"/>
      <c r="C205" s="23"/>
      <c r="D205" s="28"/>
      <c r="E205" s="23"/>
      <c r="F205" s="23"/>
      <c r="G205" s="28"/>
      <c r="H205" s="28"/>
      <c r="I205" s="28"/>
      <c r="J205" s="28"/>
      <c r="K205" s="28"/>
      <c r="L205" s="28"/>
      <c r="M205" s="28"/>
      <c r="N205" s="28"/>
      <c r="O205" s="28"/>
      <c r="P205" s="28"/>
      <c r="Q205" s="28"/>
      <c r="R205" s="28"/>
      <c r="S205" s="28"/>
      <c r="T205" s="28"/>
      <c r="U205" s="28"/>
      <c r="V205" s="17">
        <f>IF($B205="","",COUNTIF(G205:U205,"OK"))</f>
        <v/>
      </c>
      <c r="W205" s="17">
        <f>IF($B205="","",COUNTIF(G205:U205,"NOK"))</f>
        <v/>
      </c>
      <c r="X205" s="9">
        <f>IF($B205="","",IF(V205+W205=0,"",V205/(V205+W205)))</f>
        <v/>
      </c>
      <c r="Y205" s="17">
        <f>IF(X205="","",IF(X205&gt;=Setup!$C$7,"PASS","FAIL"))</f>
        <v/>
      </c>
      <c r="Z205" s="17">
        <f>IF($B205="","",IF(W205=0,"",IF(COUNTIF(Findings!$B$6:$B$305,$A205)&gt;=W205,"OK","LOG FINDING")))</f>
        <v/>
      </c>
    </row>
    <row r="206" spans="1:26">
      <c r="A206" s="17">
        <f>IF($B206="","","A-1201")</f>
        <v/>
      </c>
      <c r="B206" s="24"/>
      <c r="C206" s="23"/>
      <c r="D206" s="28"/>
      <c r="E206" s="23"/>
      <c r="F206" s="23"/>
      <c r="G206" s="28"/>
      <c r="H206" s="28"/>
      <c r="I206" s="28"/>
      <c r="J206" s="28"/>
      <c r="K206" s="28"/>
      <c r="L206" s="28"/>
      <c r="M206" s="28"/>
      <c r="N206" s="28"/>
      <c r="O206" s="28"/>
      <c r="P206" s="28"/>
      <c r="Q206" s="28"/>
      <c r="R206" s="28"/>
      <c r="S206" s="28"/>
      <c r="T206" s="28"/>
      <c r="U206" s="28"/>
      <c r="V206" s="17">
        <f>IF($B206="","",COUNTIF(G206:U206,"OK"))</f>
        <v/>
      </c>
      <c r="W206" s="17">
        <f>IF($B206="","",COUNTIF(G206:U206,"NOK"))</f>
        <v/>
      </c>
      <c r="X206" s="9">
        <f>IF($B206="","",IF(V206+W206=0,"",V206/(V206+W206)))</f>
        <v/>
      </c>
      <c r="Y206" s="17">
        <f>IF(X206="","",IF(X206&gt;=Setup!$C$7,"PASS","FAIL"))</f>
        <v/>
      </c>
      <c r="Z206" s="17">
        <f>IF($B206="","",IF(W206=0,"",IF(COUNTIF(Findings!$B$6:$B$305,$A206)&gt;=W206,"OK","LOG FINDING")))</f>
        <v/>
      </c>
    </row>
    <row r="207" spans="1:26">
      <c r="A207" s="17">
        <f>IF($B207="","","A-1202")</f>
        <v/>
      </c>
      <c r="B207" s="24"/>
      <c r="C207" s="23"/>
      <c r="D207" s="28"/>
      <c r="E207" s="23"/>
      <c r="F207" s="23"/>
      <c r="G207" s="28"/>
      <c r="H207" s="28"/>
      <c r="I207" s="28"/>
      <c r="J207" s="28"/>
      <c r="K207" s="28"/>
      <c r="L207" s="28"/>
      <c r="M207" s="28"/>
      <c r="N207" s="28"/>
      <c r="O207" s="28"/>
      <c r="P207" s="28"/>
      <c r="Q207" s="28"/>
      <c r="R207" s="28"/>
      <c r="S207" s="28"/>
      <c r="T207" s="28"/>
      <c r="U207" s="28"/>
      <c r="V207" s="17">
        <f>IF($B207="","",COUNTIF(G207:U207,"OK"))</f>
        <v/>
      </c>
      <c r="W207" s="17">
        <f>IF($B207="","",COUNTIF(G207:U207,"NOK"))</f>
        <v/>
      </c>
      <c r="X207" s="9">
        <f>IF($B207="","",IF(V207+W207=0,"",V207/(V207+W207)))</f>
        <v/>
      </c>
      <c r="Y207" s="17">
        <f>IF(X207="","",IF(X207&gt;=Setup!$C$7,"PASS","FAIL"))</f>
        <v/>
      </c>
      <c r="Z207" s="17">
        <f>IF($B207="","",IF(W207=0,"",IF(COUNTIF(Findings!$B$6:$B$305,$A207)&gt;=W207,"OK","LOG FINDING")))</f>
        <v/>
      </c>
    </row>
    <row r="208" spans="1:26">
      <c r="A208" s="17">
        <f>IF($B208="","","A-1203")</f>
        <v/>
      </c>
      <c r="B208" s="24"/>
      <c r="C208" s="23"/>
      <c r="D208" s="28"/>
      <c r="E208" s="23"/>
      <c r="F208" s="23"/>
      <c r="G208" s="28"/>
      <c r="H208" s="28"/>
      <c r="I208" s="28"/>
      <c r="J208" s="28"/>
      <c r="K208" s="28"/>
      <c r="L208" s="28"/>
      <c r="M208" s="28"/>
      <c r="N208" s="28"/>
      <c r="O208" s="28"/>
      <c r="P208" s="28"/>
      <c r="Q208" s="28"/>
      <c r="R208" s="28"/>
      <c r="S208" s="28"/>
      <c r="T208" s="28"/>
      <c r="U208" s="28"/>
      <c r="V208" s="17">
        <f>IF($B208="","",COUNTIF(G208:U208,"OK"))</f>
        <v/>
      </c>
      <c r="W208" s="17">
        <f>IF($B208="","",COUNTIF(G208:U208,"NOK"))</f>
        <v/>
      </c>
      <c r="X208" s="9">
        <f>IF($B208="","",IF(V208+W208=0,"",V208/(V208+W208)))</f>
        <v/>
      </c>
      <c r="Y208" s="17">
        <f>IF(X208="","",IF(X208&gt;=Setup!$C$7,"PASS","FAIL"))</f>
        <v/>
      </c>
      <c r="Z208" s="17">
        <f>IF($B208="","",IF(W208=0,"",IF(COUNTIF(Findings!$B$6:$B$305,$A208)&gt;=W208,"OK","LOG FINDING")))</f>
        <v/>
      </c>
    </row>
    <row r="209" spans="1:26">
      <c r="A209" s="17">
        <f>IF($B209="","","A-1204")</f>
        <v/>
      </c>
      <c r="B209" s="24"/>
      <c r="C209" s="23"/>
      <c r="D209" s="28"/>
      <c r="E209" s="23"/>
      <c r="F209" s="23"/>
      <c r="G209" s="28"/>
      <c r="H209" s="28"/>
      <c r="I209" s="28"/>
      <c r="J209" s="28"/>
      <c r="K209" s="28"/>
      <c r="L209" s="28"/>
      <c r="M209" s="28"/>
      <c r="N209" s="28"/>
      <c r="O209" s="28"/>
      <c r="P209" s="28"/>
      <c r="Q209" s="28"/>
      <c r="R209" s="28"/>
      <c r="S209" s="28"/>
      <c r="T209" s="28"/>
      <c r="U209" s="28"/>
      <c r="V209" s="17">
        <f>IF($B209="","",COUNTIF(G209:U209,"OK"))</f>
        <v/>
      </c>
      <c r="W209" s="17">
        <f>IF($B209="","",COUNTIF(G209:U209,"NOK"))</f>
        <v/>
      </c>
      <c r="X209" s="9">
        <f>IF($B209="","",IF(V209+W209=0,"",V209/(V209+W209)))</f>
        <v/>
      </c>
      <c r="Y209" s="17">
        <f>IF(X209="","",IF(X209&gt;=Setup!$C$7,"PASS","FAIL"))</f>
        <v/>
      </c>
      <c r="Z209" s="17">
        <f>IF($B209="","",IF(W209=0,"",IF(COUNTIF(Findings!$B$6:$B$305,$A209)&gt;=W209,"OK","LOG FINDING")))</f>
        <v/>
      </c>
    </row>
    <row r="210" spans="1:26">
      <c r="A210" s="17">
        <f>IF($B210="","","A-1205")</f>
        <v/>
      </c>
      <c r="B210" s="24"/>
      <c r="C210" s="23"/>
      <c r="D210" s="28"/>
      <c r="E210" s="23"/>
      <c r="F210" s="23"/>
      <c r="G210" s="28"/>
      <c r="H210" s="28"/>
      <c r="I210" s="28"/>
      <c r="J210" s="28"/>
      <c r="K210" s="28"/>
      <c r="L210" s="28"/>
      <c r="M210" s="28"/>
      <c r="N210" s="28"/>
      <c r="O210" s="28"/>
      <c r="P210" s="28"/>
      <c r="Q210" s="28"/>
      <c r="R210" s="28"/>
      <c r="S210" s="28"/>
      <c r="T210" s="28"/>
      <c r="U210" s="28"/>
      <c r="V210" s="17">
        <f>IF($B210="","",COUNTIF(G210:U210,"OK"))</f>
        <v/>
      </c>
      <c r="W210" s="17">
        <f>IF($B210="","",COUNTIF(G210:U210,"NOK"))</f>
        <v/>
      </c>
      <c r="X210" s="9">
        <f>IF($B210="","",IF(V210+W210=0,"",V210/(V210+W210)))</f>
        <v/>
      </c>
      <c r="Y210" s="17">
        <f>IF(X210="","",IF(X210&gt;=Setup!$C$7,"PASS","FAIL"))</f>
        <v/>
      </c>
      <c r="Z210" s="17">
        <f>IF($B210="","",IF(W210=0,"",IF(COUNTIF(Findings!$B$6:$B$305,$A210)&gt;=W210,"OK","LOG FINDING")))</f>
        <v/>
      </c>
    </row>
    <row r="211" spans="1:26">
      <c r="A211" s="17">
        <f>IF($B211="","","A-1206")</f>
        <v/>
      </c>
      <c r="B211" s="24"/>
      <c r="C211" s="23"/>
      <c r="D211" s="28"/>
      <c r="E211" s="23"/>
      <c r="F211" s="23"/>
      <c r="G211" s="28"/>
      <c r="H211" s="28"/>
      <c r="I211" s="28"/>
      <c r="J211" s="28"/>
      <c r="K211" s="28"/>
      <c r="L211" s="28"/>
      <c r="M211" s="28"/>
      <c r="N211" s="28"/>
      <c r="O211" s="28"/>
      <c r="P211" s="28"/>
      <c r="Q211" s="28"/>
      <c r="R211" s="28"/>
      <c r="S211" s="28"/>
      <c r="T211" s="28"/>
      <c r="U211" s="28"/>
      <c r="V211" s="17">
        <f>IF($B211="","",COUNTIF(G211:U211,"OK"))</f>
        <v/>
      </c>
      <c r="W211" s="17">
        <f>IF($B211="","",COUNTIF(G211:U211,"NOK"))</f>
        <v/>
      </c>
      <c r="X211" s="9">
        <f>IF($B211="","",IF(V211+W211=0,"",V211/(V211+W211)))</f>
        <v/>
      </c>
      <c r="Y211" s="17">
        <f>IF(X211="","",IF(X211&gt;=Setup!$C$7,"PASS","FAIL"))</f>
        <v/>
      </c>
      <c r="Z211" s="17">
        <f>IF($B211="","",IF(W211=0,"",IF(COUNTIF(Findings!$B$6:$B$305,$A211)&gt;=W211,"OK","LOG FINDING")))</f>
        <v/>
      </c>
    </row>
    <row r="212" spans="1:26">
      <c r="A212" s="17">
        <f>IF($B212="","","A-1207")</f>
        <v/>
      </c>
      <c r="B212" s="24"/>
      <c r="C212" s="23"/>
      <c r="D212" s="28"/>
      <c r="E212" s="23"/>
      <c r="F212" s="23"/>
      <c r="G212" s="28"/>
      <c r="H212" s="28"/>
      <c r="I212" s="28"/>
      <c r="J212" s="28"/>
      <c r="K212" s="28"/>
      <c r="L212" s="28"/>
      <c r="M212" s="28"/>
      <c r="N212" s="28"/>
      <c r="O212" s="28"/>
      <c r="P212" s="28"/>
      <c r="Q212" s="28"/>
      <c r="R212" s="28"/>
      <c r="S212" s="28"/>
      <c r="T212" s="28"/>
      <c r="U212" s="28"/>
      <c r="V212" s="17">
        <f>IF($B212="","",COUNTIF(G212:U212,"OK"))</f>
        <v/>
      </c>
      <c r="W212" s="17">
        <f>IF($B212="","",COUNTIF(G212:U212,"NOK"))</f>
        <v/>
      </c>
      <c r="X212" s="9">
        <f>IF($B212="","",IF(V212+W212=0,"",V212/(V212+W212)))</f>
        <v/>
      </c>
      <c r="Y212" s="17">
        <f>IF(X212="","",IF(X212&gt;=Setup!$C$7,"PASS","FAIL"))</f>
        <v/>
      </c>
      <c r="Z212" s="17">
        <f>IF($B212="","",IF(W212=0,"",IF(COUNTIF(Findings!$B$6:$B$305,$A212)&gt;=W212,"OK","LOG FINDING")))</f>
        <v/>
      </c>
    </row>
    <row r="213" spans="1:26">
      <c r="A213" s="17">
        <f>IF($B213="","","A-1208")</f>
        <v/>
      </c>
      <c r="B213" s="24"/>
      <c r="C213" s="23"/>
      <c r="D213" s="28"/>
      <c r="E213" s="23"/>
      <c r="F213" s="23"/>
      <c r="G213" s="28"/>
      <c r="H213" s="28"/>
      <c r="I213" s="28"/>
      <c r="J213" s="28"/>
      <c r="K213" s="28"/>
      <c r="L213" s="28"/>
      <c r="M213" s="28"/>
      <c r="N213" s="28"/>
      <c r="O213" s="28"/>
      <c r="P213" s="28"/>
      <c r="Q213" s="28"/>
      <c r="R213" s="28"/>
      <c r="S213" s="28"/>
      <c r="T213" s="28"/>
      <c r="U213" s="28"/>
      <c r="V213" s="17">
        <f>IF($B213="","",COUNTIF(G213:U213,"OK"))</f>
        <v/>
      </c>
      <c r="W213" s="17">
        <f>IF($B213="","",COUNTIF(G213:U213,"NOK"))</f>
        <v/>
      </c>
      <c r="X213" s="9">
        <f>IF($B213="","",IF(V213+W213=0,"",V213/(V213+W213)))</f>
        <v/>
      </c>
      <c r="Y213" s="17">
        <f>IF(X213="","",IF(X213&gt;=Setup!$C$7,"PASS","FAIL"))</f>
        <v/>
      </c>
      <c r="Z213" s="17">
        <f>IF($B213="","",IF(W213=0,"",IF(COUNTIF(Findings!$B$6:$B$305,$A213)&gt;=W213,"OK","LOG FINDING")))</f>
        <v/>
      </c>
    </row>
    <row r="214" spans="1:26">
      <c r="A214" s="17">
        <f>IF($B214="","","A-1209")</f>
        <v/>
      </c>
      <c r="B214" s="24"/>
      <c r="C214" s="23"/>
      <c r="D214" s="28"/>
      <c r="E214" s="23"/>
      <c r="F214" s="23"/>
      <c r="G214" s="28"/>
      <c r="H214" s="28"/>
      <c r="I214" s="28"/>
      <c r="J214" s="28"/>
      <c r="K214" s="28"/>
      <c r="L214" s="28"/>
      <c r="M214" s="28"/>
      <c r="N214" s="28"/>
      <c r="O214" s="28"/>
      <c r="P214" s="28"/>
      <c r="Q214" s="28"/>
      <c r="R214" s="28"/>
      <c r="S214" s="28"/>
      <c r="T214" s="28"/>
      <c r="U214" s="28"/>
      <c r="V214" s="17">
        <f>IF($B214="","",COUNTIF(G214:U214,"OK"))</f>
        <v/>
      </c>
      <c r="W214" s="17">
        <f>IF($B214="","",COUNTIF(G214:U214,"NOK"))</f>
        <v/>
      </c>
      <c r="X214" s="9">
        <f>IF($B214="","",IF(V214+W214=0,"",V214/(V214+W214)))</f>
        <v/>
      </c>
      <c r="Y214" s="17">
        <f>IF(X214="","",IF(X214&gt;=Setup!$C$7,"PASS","FAIL"))</f>
        <v/>
      </c>
      <c r="Z214" s="17">
        <f>IF($B214="","",IF(W214=0,"",IF(COUNTIF(Findings!$B$6:$B$305,$A214)&gt;=W214,"OK","LOG FINDING")))</f>
        <v/>
      </c>
    </row>
    <row r="215" spans="1:26">
      <c r="A215" s="17">
        <f>IF($B215="","","A-1210")</f>
        <v/>
      </c>
      <c r="B215" s="24"/>
      <c r="C215" s="23"/>
      <c r="D215" s="28"/>
      <c r="E215" s="23"/>
      <c r="F215" s="23"/>
      <c r="G215" s="28"/>
      <c r="H215" s="28"/>
      <c r="I215" s="28"/>
      <c r="J215" s="28"/>
      <c r="K215" s="28"/>
      <c r="L215" s="28"/>
      <c r="M215" s="28"/>
      <c r="N215" s="28"/>
      <c r="O215" s="28"/>
      <c r="P215" s="28"/>
      <c r="Q215" s="28"/>
      <c r="R215" s="28"/>
      <c r="S215" s="28"/>
      <c r="T215" s="28"/>
      <c r="U215" s="28"/>
      <c r="V215" s="17">
        <f>IF($B215="","",COUNTIF(G215:U215,"OK"))</f>
        <v/>
      </c>
      <c r="W215" s="17">
        <f>IF($B215="","",COUNTIF(G215:U215,"NOK"))</f>
        <v/>
      </c>
      <c r="X215" s="9">
        <f>IF($B215="","",IF(V215+W215=0,"",V215/(V215+W215)))</f>
        <v/>
      </c>
      <c r="Y215" s="17">
        <f>IF(X215="","",IF(X215&gt;=Setup!$C$7,"PASS","FAIL"))</f>
        <v/>
      </c>
      <c r="Z215" s="17">
        <f>IF($B215="","",IF(W215=0,"",IF(COUNTIF(Findings!$B$6:$B$305,$A215)&gt;=W215,"OK","LOG FINDING")))</f>
        <v/>
      </c>
    </row>
    <row r="216" spans="1:26">
      <c r="A216" s="17">
        <f>IF($B216="","","A-1211")</f>
        <v/>
      </c>
      <c r="B216" s="24"/>
      <c r="C216" s="23"/>
      <c r="D216" s="28"/>
      <c r="E216" s="23"/>
      <c r="F216" s="23"/>
      <c r="G216" s="28"/>
      <c r="H216" s="28"/>
      <c r="I216" s="28"/>
      <c r="J216" s="28"/>
      <c r="K216" s="28"/>
      <c r="L216" s="28"/>
      <c r="M216" s="28"/>
      <c r="N216" s="28"/>
      <c r="O216" s="28"/>
      <c r="P216" s="28"/>
      <c r="Q216" s="28"/>
      <c r="R216" s="28"/>
      <c r="S216" s="28"/>
      <c r="T216" s="28"/>
      <c r="U216" s="28"/>
      <c r="V216" s="17">
        <f>IF($B216="","",COUNTIF(G216:U216,"OK"))</f>
        <v/>
      </c>
      <c r="W216" s="17">
        <f>IF($B216="","",COUNTIF(G216:U216,"NOK"))</f>
        <v/>
      </c>
      <c r="X216" s="9">
        <f>IF($B216="","",IF(V216+W216=0,"",V216/(V216+W216)))</f>
        <v/>
      </c>
      <c r="Y216" s="17">
        <f>IF(X216="","",IF(X216&gt;=Setup!$C$7,"PASS","FAIL"))</f>
        <v/>
      </c>
      <c r="Z216" s="17">
        <f>IF($B216="","",IF(W216=0,"",IF(COUNTIF(Findings!$B$6:$B$305,$A216)&gt;=W216,"OK","LOG FINDING")))</f>
        <v/>
      </c>
    </row>
    <row r="217" spans="1:26">
      <c r="A217" s="17">
        <f>IF($B217="","","A-1212")</f>
        <v/>
      </c>
      <c r="B217" s="24"/>
      <c r="C217" s="23"/>
      <c r="D217" s="28"/>
      <c r="E217" s="23"/>
      <c r="F217" s="23"/>
      <c r="G217" s="28"/>
      <c r="H217" s="28"/>
      <c r="I217" s="28"/>
      <c r="J217" s="28"/>
      <c r="K217" s="28"/>
      <c r="L217" s="28"/>
      <c r="M217" s="28"/>
      <c r="N217" s="28"/>
      <c r="O217" s="28"/>
      <c r="P217" s="28"/>
      <c r="Q217" s="28"/>
      <c r="R217" s="28"/>
      <c r="S217" s="28"/>
      <c r="T217" s="28"/>
      <c r="U217" s="28"/>
      <c r="V217" s="17">
        <f>IF($B217="","",COUNTIF(G217:U217,"OK"))</f>
        <v/>
      </c>
      <c r="W217" s="17">
        <f>IF($B217="","",COUNTIF(G217:U217,"NOK"))</f>
        <v/>
      </c>
      <c r="X217" s="9">
        <f>IF($B217="","",IF(V217+W217=0,"",V217/(V217+W217)))</f>
        <v/>
      </c>
      <c r="Y217" s="17">
        <f>IF(X217="","",IF(X217&gt;=Setup!$C$7,"PASS","FAIL"))</f>
        <v/>
      </c>
      <c r="Z217" s="17">
        <f>IF($B217="","",IF(W217=0,"",IF(COUNTIF(Findings!$B$6:$B$305,$A217)&gt;=W217,"OK","LOG FINDING")))</f>
        <v/>
      </c>
    </row>
    <row r="218" spans="1:26">
      <c r="A218" s="17">
        <f>IF($B218="","","A-1213")</f>
        <v/>
      </c>
      <c r="B218" s="24"/>
      <c r="C218" s="23"/>
      <c r="D218" s="28"/>
      <c r="E218" s="23"/>
      <c r="F218" s="23"/>
      <c r="G218" s="28"/>
      <c r="H218" s="28"/>
      <c r="I218" s="28"/>
      <c r="J218" s="28"/>
      <c r="K218" s="28"/>
      <c r="L218" s="28"/>
      <c r="M218" s="28"/>
      <c r="N218" s="28"/>
      <c r="O218" s="28"/>
      <c r="P218" s="28"/>
      <c r="Q218" s="28"/>
      <c r="R218" s="28"/>
      <c r="S218" s="28"/>
      <c r="T218" s="28"/>
      <c r="U218" s="28"/>
      <c r="V218" s="17">
        <f>IF($B218="","",COUNTIF(G218:U218,"OK"))</f>
        <v/>
      </c>
      <c r="W218" s="17">
        <f>IF($B218="","",COUNTIF(G218:U218,"NOK"))</f>
        <v/>
      </c>
      <c r="X218" s="9">
        <f>IF($B218="","",IF(V218+W218=0,"",V218/(V218+W218)))</f>
        <v/>
      </c>
      <c r="Y218" s="17">
        <f>IF(X218="","",IF(X218&gt;=Setup!$C$7,"PASS","FAIL"))</f>
        <v/>
      </c>
      <c r="Z218" s="17">
        <f>IF($B218="","",IF(W218=0,"",IF(COUNTIF(Findings!$B$6:$B$305,$A218)&gt;=W218,"OK","LOG FINDING")))</f>
        <v/>
      </c>
    </row>
    <row r="219" spans="1:26">
      <c r="A219" s="17">
        <f>IF($B219="","","A-1214")</f>
        <v/>
      </c>
      <c r="B219" s="24"/>
      <c r="C219" s="23"/>
      <c r="D219" s="28"/>
      <c r="E219" s="23"/>
      <c r="F219" s="23"/>
      <c r="G219" s="28"/>
      <c r="H219" s="28"/>
      <c r="I219" s="28"/>
      <c r="J219" s="28"/>
      <c r="K219" s="28"/>
      <c r="L219" s="28"/>
      <c r="M219" s="28"/>
      <c r="N219" s="28"/>
      <c r="O219" s="28"/>
      <c r="P219" s="28"/>
      <c r="Q219" s="28"/>
      <c r="R219" s="28"/>
      <c r="S219" s="28"/>
      <c r="T219" s="28"/>
      <c r="U219" s="28"/>
      <c r="V219" s="17">
        <f>IF($B219="","",COUNTIF(G219:U219,"OK"))</f>
        <v/>
      </c>
      <c r="W219" s="17">
        <f>IF($B219="","",COUNTIF(G219:U219,"NOK"))</f>
        <v/>
      </c>
      <c r="X219" s="9">
        <f>IF($B219="","",IF(V219+W219=0,"",V219/(V219+W219)))</f>
        <v/>
      </c>
      <c r="Y219" s="17">
        <f>IF(X219="","",IF(X219&gt;=Setup!$C$7,"PASS","FAIL"))</f>
        <v/>
      </c>
      <c r="Z219" s="17">
        <f>IF($B219="","",IF(W219=0,"",IF(COUNTIF(Findings!$B$6:$B$305,$A219)&gt;=W219,"OK","LOG FINDING")))</f>
        <v/>
      </c>
    </row>
    <row r="220" spans="1:26">
      <c r="A220" s="17">
        <f>IF($B220="","","A-1215")</f>
        <v/>
      </c>
      <c r="B220" s="24"/>
      <c r="C220" s="23"/>
      <c r="D220" s="28"/>
      <c r="E220" s="23"/>
      <c r="F220" s="23"/>
      <c r="G220" s="28"/>
      <c r="H220" s="28"/>
      <c r="I220" s="28"/>
      <c r="J220" s="28"/>
      <c r="K220" s="28"/>
      <c r="L220" s="28"/>
      <c r="M220" s="28"/>
      <c r="N220" s="28"/>
      <c r="O220" s="28"/>
      <c r="P220" s="28"/>
      <c r="Q220" s="28"/>
      <c r="R220" s="28"/>
      <c r="S220" s="28"/>
      <c r="T220" s="28"/>
      <c r="U220" s="28"/>
      <c r="V220" s="17">
        <f>IF($B220="","",COUNTIF(G220:U220,"OK"))</f>
        <v/>
      </c>
      <c r="W220" s="17">
        <f>IF($B220="","",COUNTIF(G220:U220,"NOK"))</f>
        <v/>
      </c>
      <c r="X220" s="9">
        <f>IF($B220="","",IF(V220+W220=0,"",V220/(V220+W220)))</f>
        <v/>
      </c>
      <c r="Y220" s="17">
        <f>IF(X220="","",IF(X220&gt;=Setup!$C$7,"PASS","FAIL"))</f>
        <v/>
      </c>
      <c r="Z220" s="17">
        <f>IF($B220="","",IF(W220=0,"",IF(COUNTIF(Findings!$B$6:$B$305,$A220)&gt;=W220,"OK","LOG FINDING")))</f>
        <v/>
      </c>
    </row>
    <row r="221" spans="1:26">
      <c r="A221" s="17">
        <f>IF($B221="","","A-1216")</f>
        <v/>
      </c>
      <c r="B221" s="24"/>
      <c r="C221" s="23"/>
      <c r="D221" s="28"/>
      <c r="E221" s="23"/>
      <c r="F221" s="23"/>
      <c r="G221" s="28"/>
      <c r="H221" s="28"/>
      <c r="I221" s="28"/>
      <c r="J221" s="28"/>
      <c r="K221" s="28"/>
      <c r="L221" s="28"/>
      <c r="M221" s="28"/>
      <c r="N221" s="28"/>
      <c r="O221" s="28"/>
      <c r="P221" s="28"/>
      <c r="Q221" s="28"/>
      <c r="R221" s="28"/>
      <c r="S221" s="28"/>
      <c r="T221" s="28"/>
      <c r="U221" s="28"/>
      <c r="V221" s="17">
        <f>IF($B221="","",COUNTIF(G221:U221,"OK"))</f>
        <v/>
      </c>
      <c r="W221" s="17">
        <f>IF($B221="","",COUNTIF(G221:U221,"NOK"))</f>
        <v/>
      </c>
      <c r="X221" s="9">
        <f>IF($B221="","",IF(V221+W221=0,"",V221/(V221+W221)))</f>
        <v/>
      </c>
      <c r="Y221" s="17">
        <f>IF(X221="","",IF(X221&gt;=Setup!$C$7,"PASS","FAIL"))</f>
        <v/>
      </c>
      <c r="Z221" s="17">
        <f>IF($B221="","",IF(W221=0,"",IF(COUNTIF(Findings!$B$6:$B$305,$A221)&gt;=W221,"OK","LOG FINDING")))</f>
        <v/>
      </c>
    </row>
    <row r="222" spans="1:26">
      <c r="A222" s="17">
        <f>IF($B222="","","A-1217")</f>
        <v/>
      </c>
      <c r="B222" s="24"/>
      <c r="C222" s="23"/>
      <c r="D222" s="28"/>
      <c r="E222" s="23"/>
      <c r="F222" s="23"/>
      <c r="G222" s="28"/>
      <c r="H222" s="28"/>
      <c r="I222" s="28"/>
      <c r="J222" s="28"/>
      <c r="K222" s="28"/>
      <c r="L222" s="28"/>
      <c r="M222" s="28"/>
      <c r="N222" s="28"/>
      <c r="O222" s="28"/>
      <c r="P222" s="28"/>
      <c r="Q222" s="28"/>
      <c r="R222" s="28"/>
      <c r="S222" s="28"/>
      <c r="T222" s="28"/>
      <c r="U222" s="28"/>
      <c r="V222" s="17">
        <f>IF($B222="","",COUNTIF(G222:U222,"OK"))</f>
        <v/>
      </c>
      <c r="W222" s="17">
        <f>IF($B222="","",COUNTIF(G222:U222,"NOK"))</f>
        <v/>
      </c>
      <c r="X222" s="9">
        <f>IF($B222="","",IF(V222+W222=0,"",V222/(V222+W222)))</f>
        <v/>
      </c>
      <c r="Y222" s="17">
        <f>IF(X222="","",IF(X222&gt;=Setup!$C$7,"PASS","FAIL"))</f>
        <v/>
      </c>
      <c r="Z222" s="17">
        <f>IF($B222="","",IF(W222=0,"",IF(COUNTIF(Findings!$B$6:$B$305,$A222)&gt;=W222,"OK","LOG FINDING")))</f>
        <v/>
      </c>
    </row>
    <row r="223" spans="1:26">
      <c r="A223" s="17">
        <f>IF($B223="","","A-1218")</f>
        <v/>
      </c>
      <c r="B223" s="24"/>
      <c r="C223" s="23"/>
      <c r="D223" s="28"/>
      <c r="E223" s="23"/>
      <c r="F223" s="23"/>
      <c r="G223" s="28"/>
      <c r="H223" s="28"/>
      <c r="I223" s="28"/>
      <c r="J223" s="28"/>
      <c r="K223" s="28"/>
      <c r="L223" s="28"/>
      <c r="M223" s="28"/>
      <c r="N223" s="28"/>
      <c r="O223" s="28"/>
      <c r="P223" s="28"/>
      <c r="Q223" s="28"/>
      <c r="R223" s="28"/>
      <c r="S223" s="28"/>
      <c r="T223" s="28"/>
      <c r="U223" s="28"/>
      <c r="V223" s="17">
        <f>IF($B223="","",COUNTIF(G223:U223,"OK"))</f>
        <v/>
      </c>
      <c r="W223" s="17">
        <f>IF($B223="","",COUNTIF(G223:U223,"NOK"))</f>
        <v/>
      </c>
      <c r="X223" s="9">
        <f>IF($B223="","",IF(V223+W223=0,"",V223/(V223+W223)))</f>
        <v/>
      </c>
      <c r="Y223" s="17">
        <f>IF(X223="","",IF(X223&gt;=Setup!$C$7,"PASS","FAIL"))</f>
        <v/>
      </c>
      <c r="Z223" s="17">
        <f>IF($B223="","",IF(W223=0,"",IF(COUNTIF(Findings!$B$6:$B$305,$A223)&gt;=W223,"OK","LOG FINDING")))</f>
        <v/>
      </c>
    </row>
    <row r="224" spans="1:26">
      <c r="A224" s="17">
        <f>IF($B224="","","A-1219")</f>
        <v/>
      </c>
      <c r="B224" s="24"/>
      <c r="C224" s="23"/>
      <c r="D224" s="28"/>
      <c r="E224" s="23"/>
      <c r="F224" s="23"/>
      <c r="G224" s="28"/>
      <c r="H224" s="28"/>
      <c r="I224" s="28"/>
      <c r="J224" s="28"/>
      <c r="K224" s="28"/>
      <c r="L224" s="28"/>
      <c r="M224" s="28"/>
      <c r="N224" s="28"/>
      <c r="O224" s="28"/>
      <c r="P224" s="28"/>
      <c r="Q224" s="28"/>
      <c r="R224" s="28"/>
      <c r="S224" s="28"/>
      <c r="T224" s="28"/>
      <c r="U224" s="28"/>
      <c r="V224" s="17">
        <f>IF($B224="","",COUNTIF(G224:U224,"OK"))</f>
        <v/>
      </c>
      <c r="W224" s="17">
        <f>IF($B224="","",COUNTIF(G224:U224,"NOK"))</f>
        <v/>
      </c>
      <c r="X224" s="9">
        <f>IF($B224="","",IF(V224+W224=0,"",V224/(V224+W224)))</f>
        <v/>
      </c>
      <c r="Y224" s="17">
        <f>IF(X224="","",IF(X224&gt;=Setup!$C$7,"PASS","FAIL"))</f>
        <v/>
      </c>
      <c r="Z224" s="17">
        <f>IF($B224="","",IF(W224=0,"",IF(COUNTIF(Findings!$B$6:$B$305,$A224)&gt;=W224,"OK","LOG FINDING")))</f>
        <v/>
      </c>
    </row>
    <row r="225" spans="1:26">
      <c r="A225" s="17">
        <f>IF($B225="","","A-1220")</f>
        <v/>
      </c>
      <c r="B225" s="24"/>
      <c r="C225" s="23"/>
      <c r="D225" s="28"/>
      <c r="E225" s="23"/>
      <c r="F225" s="23"/>
      <c r="G225" s="28"/>
      <c r="H225" s="28"/>
      <c r="I225" s="28"/>
      <c r="J225" s="28"/>
      <c r="K225" s="28"/>
      <c r="L225" s="28"/>
      <c r="M225" s="28"/>
      <c r="N225" s="28"/>
      <c r="O225" s="28"/>
      <c r="P225" s="28"/>
      <c r="Q225" s="28"/>
      <c r="R225" s="28"/>
      <c r="S225" s="28"/>
      <c r="T225" s="28"/>
      <c r="U225" s="28"/>
      <c r="V225" s="17">
        <f>IF($B225="","",COUNTIF(G225:U225,"OK"))</f>
        <v/>
      </c>
      <c r="W225" s="17">
        <f>IF($B225="","",COUNTIF(G225:U225,"NOK"))</f>
        <v/>
      </c>
      <c r="X225" s="9">
        <f>IF($B225="","",IF(V225+W225=0,"",V225/(V225+W225)))</f>
        <v/>
      </c>
      <c r="Y225" s="17">
        <f>IF(X225="","",IF(X225&gt;=Setup!$C$7,"PASS","FAIL"))</f>
        <v/>
      </c>
      <c r="Z225" s="17">
        <f>IF($B225="","",IF(W225=0,"",IF(COUNTIF(Findings!$B$6:$B$305,$A225)&gt;=W225,"OK","LOG FINDING")))</f>
        <v/>
      </c>
    </row>
    <row r="226" spans="1:26">
      <c r="A226" s="17">
        <f>IF($B226="","","A-1221")</f>
        <v/>
      </c>
      <c r="B226" s="24"/>
      <c r="C226" s="23"/>
      <c r="D226" s="28"/>
      <c r="E226" s="23"/>
      <c r="F226" s="23"/>
      <c r="G226" s="28"/>
      <c r="H226" s="28"/>
      <c r="I226" s="28"/>
      <c r="J226" s="28"/>
      <c r="K226" s="28"/>
      <c r="L226" s="28"/>
      <c r="M226" s="28"/>
      <c r="N226" s="28"/>
      <c r="O226" s="28"/>
      <c r="P226" s="28"/>
      <c r="Q226" s="28"/>
      <c r="R226" s="28"/>
      <c r="S226" s="28"/>
      <c r="T226" s="28"/>
      <c r="U226" s="28"/>
      <c r="V226" s="17">
        <f>IF($B226="","",COUNTIF(G226:U226,"OK"))</f>
        <v/>
      </c>
      <c r="W226" s="17">
        <f>IF($B226="","",COUNTIF(G226:U226,"NOK"))</f>
        <v/>
      </c>
      <c r="X226" s="9">
        <f>IF($B226="","",IF(V226+W226=0,"",V226/(V226+W226)))</f>
        <v/>
      </c>
      <c r="Y226" s="17">
        <f>IF(X226="","",IF(X226&gt;=Setup!$C$7,"PASS","FAIL"))</f>
        <v/>
      </c>
      <c r="Z226" s="17">
        <f>IF($B226="","",IF(W226=0,"",IF(COUNTIF(Findings!$B$6:$B$305,$A226)&gt;=W226,"OK","LOG FINDING")))</f>
        <v/>
      </c>
    </row>
    <row r="227" spans="1:26">
      <c r="A227" s="17">
        <f>IF($B227="","","A-1222")</f>
        <v/>
      </c>
      <c r="B227" s="24"/>
      <c r="C227" s="23"/>
      <c r="D227" s="28"/>
      <c r="E227" s="23"/>
      <c r="F227" s="23"/>
      <c r="G227" s="28"/>
      <c r="H227" s="28"/>
      <c r="I227" s="28"/>
      <c r="J227" s="28"/>
      <c r="K227" s="28"/>
      <c r="L227" s="28"/>
      <c r="M227" s="28"/>
      <c r="N227" s="28"/>
      <c r="O227" s="28"/>
      <c r="P227" s="28"/>
      <c r="Q227" s="28"/>
      <c r="R227" s="28"/>
      <c r="S227" s="28"/>
      <c r="T227" s="28"/>
      <c r="U227" s="28"/>
      <c r="V227" s="17">
        <f>IF($B227="","",COUNTIF(G227:U227,"OK"))</f>
        <v/>
      </c>
      <c r="W227" s="17">
        <f>IF($B227="","",COUNTIF(G227:U227,"NOK"))</f>
        <v/>
      </c>
      <c r="X227" s="9">
        <f>IF($B227="","",IF(V227+W227=0,"",V227/(V227+W227)))</f>
        <v/>
      </c>
      <c r="Y227" s="17">
        <f>IF(X227="","",IF(X227&gt;=Setup!$C$7,"PASS","FAIL"))</f>
        <v/>
      </c>
      <c r="Z227" s="17">
        <f>IF($B227="","",IF(W227=0,"",IF(COUNTIF(Findings!$B$6:$B$305,$A227)&gt;=W227,"OK","LOG FINDING")))</f>
        <v/>
      </c>
    </row>
    <row r="228" spans="1:26">
      <c r="A228" s="17">
        <f>IF($B228="","","A-1223")</f>
        <v/>
      </c>
      <c r="B228" s="24"/>
      <c r="C228" s="23"/>
      <c r="D228" s="28"/>
      <c r="E228" s="23"/>
      <c r="F228" s="23"/>
      <c r="G228" s="28"/>
      <c r="H228" s="28"/>
      <c r="I228" s="28"/>
      <c r="J228" s="28"/>
      <c r="K228" s="28"/>
      <c r="L228" s="28"/>
      <c r="M228" s="28"/>
      <c r="N228" s="28"/>
      <c r="O228" s="28"/>
      <c r="P228" s="28"/>
      <c r="Q228" s="28"/>
      <c r="R228" s="28"/>
      <c r="S228" s="28"/>
      <c r="T228" s="28"/>
      <c r="U228" s="28"/>
      <c r="V228" s="17">
        <f>IF($B228="","",COUNTIF(G228:U228,"OK"))</f>
        <v/>
      </c>
      <c r="W228" s="17">
        <f>IF($B228="","",COUNTIF(G228:U228,"NOK"))</f>
        <v/>
      </c>
      <c r="X228" s="9">
        <f>IF($B228="","",IF(V228+W228=0,"",V228/(V228+W228)))</f>
        <v/>
      </c>
      <c r="Y228" s="17">
        <f>IF(X228="","",IF(X228&gt;=Setup!$C$7,"PASS","FAIL"))</f>
        <v/>
      </c>
      <c r="Z228" s="17">
        <f>IF($B228="","",IF(W228=0,"",IF(COUNTIF(Findings!$B$6:$B$305,$A228)&gt;=W228,"OK","LOG FINDING")))</f>
        <v/>
      </c>
    </row>
    <row r="229" spans="1:26">
      <c r="A229" s="17">
        <f>IF($B229="","","A-1224")</f>
        <v/>
      </c>
      <c r="B229" s="24"/>
      <c r="C229" s="23"/>
      <c r="D229" s="28"/>
      <c r="E229" s="23"/>
      <c r="F229" s="23"/>
      <c r="G229" s="28"/>
      <c r="H229" s="28"/>
      <c r="I229" s="28"/>
      <c r="J229" s="28"/>
      <c r="K229" s="28"/>
      <c r="L229" s="28"/>
      <c r="M229" s="28"/>
      <c r="N229" s="28"/>
      <c r="O229" s="28"/>
      <c r="P229" s="28"/>
      <c r="Q229" s="28"/>
      <c r="R229" s="28"/>
      <c r="S229" s="28"/>
      <c r="T229" s="28"/>
      <c r="U229" s="28"/>
      <c r="V229" s="17">
        <f>IF($B229="","",COUNTIF(G229:U229,"OK"))</f>
        <v/>
      </c>
      <c r="W229" s="17">
        <f>IF($B229="","",COUNTIF(G229:U229,"NOK"))</f>
        <v/>
      </c>
      <c r="X229" s="9">
        <f>IF($B229="","",IF(V229+W229=0,"",V229/(V229+W229)))</f>
        <v/>
      </c>
      <c r="Y229" s="17">
        <f>IF(X229="","",IF(X229&gt;=Setup!$C$7,"PASS","FAIL"))</f>
        <v/>
      </c>
      <c r="Z229" s="17">
        <f>IF($B229="","",IF(W229=0,"",IF(COUNTIF(Findings!$B$6:$B$305,$A229)&gt;=W229,"OK","LOG FINDING")))</f>
        <v/>
      </c>
    </row>
    <row r="230" spans="1:26">
      <c r="A230" s="17">
        <f>IF($B230="","","A-1225")</f>
        <v/>
      </c>
      <c r="B230" s="24"/>
      <c r="C230" s="23"/>
      <c r="D230" s="28"/>
      <c r="E230" s="23"/>
      <c r="F230" s="23"/>
      <c r="G230" s="28"/>
      <c r="H230" s="28"/>
      <c r="I230" s="28"/>
      <c r="J230" s="28"/>
      <c r="K230" s="28"/>
      <c r="L230" s="28"/>
      <c r="M230" s="28"/>
      <c r="N230" s="28"/>
      <c r="O230" s="28"/>
      <c r="P230" s="28"/>
      <c r="Q230" s="28"/>
      <c r="R230" s="28"/>
      <c r="S230" s="28"/>
      <c r="T230" s="28"/>
      <c r="U230" s="28"/>
      <c r="V230" s="17">
        <f>IF($B230="","",COUNTIF(G230:U230,"OK"))</f>
        <v/>
      </c>
      <c r="W230" s="17">
        <f>IF($B230="","",COUNTIF(G230:U230,"NOK"))</f>
        <v/>
      </c>
      <c r="X230" s="9">
        <f>IF($B230="","",IF(V230+W230=0,"",V230/(V230+W230)))</f>
        <v/>
      </c>
      <c r="Y230" s="17">
        <f>IF(X230="","",IF(X230&gt;=Setup!$C$7,"PASS","FAIL"))</f>
        <v/>
      </c>
      <c r="Z230" s="17">
        <f>IF($B230="","",IF(W230=0,"",IF(COUNTIF(Findings!$B$6:$B$305,$A230)&gt;=W230,"OK","LOG FINDING")))</f>
        <v/>
      </c>
    </row>
    <row r="231" spans="1:26">
      <c r="A231" s="17">
        <f>IF($B231="","","A-1226")</f>
        <v/>
      </c>
      <c r="B231" s="24"/>
      <c r="C231" s="23"/>
      <c r="D231" s="28"/>
      <c r="E231" s="23"/>
      <c r="F231" s="23"/>
      <c r="G231" s="28"/>
      <c r="H231" s="28"/>
      <c r="I231" s="28"/>
      <c r="J231" s="28"/>
      <c r="K231" s="28"/>
      <c r="L231" s="28"/>
      <c r="M231" s="28"/>
      <c r="N231" s="28"/>
      <c r="O231" s="28"/>
      <c r="P231" s="28"/>
      <c r="Q231" s="28"/>
      <c r="R231" s="28"/>
      <c r="S231" s="28"/>
      <c r="T231" s="28"/>
      <c r="U231" s="28"/>
      <c r="V231" s="17">
        <f>IF($B231="","",COUNTIF(G231:U231,"OK"))</f>
        <v/>
      </c>
      <c r="W231" s="17">
        <f>IF($B231="","",COUNTIF(G231:U231,"NOK"))</f>
        <v/>
      </c>
      <c r="X231" s="9">
        <f>IF($B231="","",IF(V231+W231=0,"",V231/(V231+W231)))</f>
        <v/>
      </c>
      <c r="Y231" s="17">
        <f>IF(X231="","",IF(X231&gt;=Setup!$C$7,"PASS","FAIL"))</f>
        <v/>
      </c>
      <c r="Z231" s="17">
        <f>IF($B231="","",IF(W231=0,"",IF(COUNTIF(Findings!$B$6:$B$305,$A231)&gt;=W231,"OK","LOG FINDING")))</f>
        <v/>
      </c>
    </row>
    <row r="232" spans="1:26">
      <c r="A232" s="17">
        <f>IF($B232="","","A-1227")</f>
        <v/>
      </c>
      <c r="B232" s="24"/>
      <c r="C232" s="23"/>
      <c r="D232" s="28"/>
      <c r="E232" s="23"/>
      <c r="F232" s="23"/>
      <c r="G232" s="28"/>
      <c r="H232" s="28"/>
      <c r="I232" s="28"/>
      <c r="J232" s="28"/>
      <c r="K232" s="28"/>
      <c r="L232" s="28"/>
      <c r="M232" s="28"/>
      <c r="N232" s="28"/>
      <c r="O232" s="28"/>
      <c r="P232" s="28"/>
      <c r="Q232" s="28"/>
      <c r="R232" s="28"/>
      <c r="S232" s="28"/>
      <c r="T232" s="28"/>
      <c r="U232" s="28"/>
      <c r="V232" s="17">
        <f>IF($B232="","",COUNTIF(G232:U232,"OK"))</f>
        <v/>
      </c>
      <c r="W232" s="17">
        <f>IF($B232="","",COUNTIF(G232:U232,"NOK"))</f>
        <v/>
      </c>
      <c r="X232" s="9">
        <f>IF($B232="","",IF(V232+W232=0,"",V232/(V232+W232)))</f>
        <v/>
      </c>
      <c r="Y232" s="17">
        <f>IF(X232="","",IF(X232&gt;=Setup!$C$7,"PASS","FAIL"))</f>
        <v/>
      </c>
      <c r="Z232" s="17">
        <f>IF($B232="","",IF(W232=0,"",IF(COUNTIF(Findings!$B$6:$B$305,$A232)&gt;=W232,"OK","LOG FINDING")))</f>
        <v/>
      </c>
    </row>
    <row r="233" spans="1:26">
      <c r="A233" s="17">
        <f>IF($B233="","","A-1228")</f>
        <v/>
      </c>
      <c r="B233" s="24"/>
      <c r="C233" s="23"/>
      <c r="D233" s="28"/>
      <c r="E233" s="23"/>
      <c r="F233" s="23"/>
      <c r="G233" s="28"/>
      <c r="H233" s="28"/>
      <c r="I233" s="28"/>
      <c r="J233" s="28"/>
      <c r="K233" s="28"/>
      <c r="L233" s="28"/>
      <c r="M233" s="28"/>
      <c r="N233" s="28"/>
      <c r="O233" s="28"/>
      <c r="P233" s="28"/>
      <c r="Q233" s="28"/>
      <c r="R233" s="28"/>
      <c r="S233" s="28"/>
      <c r="T233" s="28"/>
      <c r="U233" s="28"/>
      <c r="V233" s="17">
        <f>IF($B233="","",COUNTIF(G233:U233,"OK"))</f>
        <v/>
      </c>
      <c r="W233" s="17">
        <f>IF($B233="","",COUNTIF(G233:U233,"NOK"))</f>
        <v/>
      </c>
      <c r="X233" s="9">
        <f>IF($B233="","",IF(V233+W233=0,"",V233/(V233+W233)))</f>
        <v/>
      </c>
      <c r="Y233" s="17">
        <f>IF(X233="","",IF(X233&gt;=Setup!$C$7,"PASS","FAIL"))</f>
        <v/>
      </c>
      <c r="Z233" s="17">
        <f>IF($B233="","",IF(W233=0,"",IF(COUNTIF(Findings!$B$6:$B$305,$A233)&gt;=W233,"OK","LOG FINDING")))</f>
        <v/>
      </c>
    </row>
    <row r="234" spans="1:26">
      <c r="A234" s="17">
        <f>IF($B234="","","A-1229")</f>
        <v/>
      </c>
      <c r="B234" s="24"/>
      <c r="C234" s="23"/>
      <c r="D234" s="28"/>
      <c r="E234" s="23"/>
      <c r="F234" s="23"/>
      <c r="G234" s="28"/>
      <c r="H234" s="28"/>
      <c r="I234" s="28"/>
      <c r="J234" s="28"/>
      <c r="K234" s="28"/>
      <c r="L234" s="28"/>
      <c r="M234" s="28"/>
      <c r="N234" s="28"/>
      <c r="O234" s="28"/>
      <c r="P234" s="28"/>
      <c r="Q234" s="28"/>
      <c r="R234" s="28"/>
      <c r="S234" s="28"/>
      <c r="T234" s="28"/>
      <c r="U234" s="28"/>
      <c r="V234" s="17">
        <f>IF($B234="","",COUNTIF(G234:U234,"OK"))</f>
        <v/>
      </c>
      <c r="W234" s="17">
        <f>IF($B234="","",COUNTIF(G234:U234,"NOK"))</f>
        <v/>
      </c>
      <c r="X234" s="9">
        <f>IF($B234="","",IF(V234+W234=0,"",V234/(V234+W234)))</f>
        <v/>
      </c>
      <c r="Y234" s="17">
        <f>IF(X234="","",IF(X234&gt;=Setup!$C$7,"PASS","FAIL"))</f>
        <v/>
      </c>
      <c r="Z234" s="17">
        <f>IF($B234="","",IF(W234=0,"",IF(COUNTIF(Findings!$B$6:$B$305,$A234)&gt;=W234,"OK","LOG FINDING")))</f>
        <v/>
      </c>
    </row>
    <row r="235" spans="1:26">
      <c r="A235" s="17">
        <f>IF($B235="","","A-1230")</f>
        <v/>
      </c>
      <c r="B235" s="24"/>
      <c r="C235" s="23"/>
      <c r="D235" s="28"/>
      <c r="E235" s="23"/>
      <c r="F235" s="23"/>
      <c r="G235" s="28"/>
      <c r="H235" s="28"/>
      <c r="I235" s="28"/>
      <c r="J235" s="28"/>
      <c r="K235" s="28"/>
      <c r="L235" s="28"/>
      <c r="M235" s="28"/>
      <c r="N235" s="28"/>
      <c r="O235" s="28"/>
      <c r="P235" s="28"/>
      <c r="Q235" s="28"/>
      <c r="R235" s="28"/>
      <c r="S235" s="28"/>
      <c r="T235" s="28"/>
      <c r="U235" s="28"/>
      <c r="V235" s="17">
        <f>IF($B235="","",COUNTIF(G235:U235,"OK"))</f>
        <v/>
      </c>
      <c r="W235" s="17">
        <f>IF($B235="","",COUNTIF(G235:U235,"NOK"))</f>
        <v/>
      </c>
      <c r="X235" s="9">
        <f>IF($B235="","",IF(V235+W235=0,"",V235/(V235+W235)))</f>
        <v/>
      </c>
      <c r="Y235" s="17">
        <f>IF(X235="","",IF(X235&gt;=Setup!$C$7,"PASS","FAIL"))</f>
        <v/>
      </c>
      <c r="Z235" s="17">
        <f>IF($B235="","",IF(W235=0,"",IF(COUNTIF(Findings!$B$6:$B$305,$A235)&gt;=W235,"OK","LOG FINDING")))</f>
        <v/>
      </c>
    </row>
    <row r="236" spans="1:26">
      <c r="A236" s="17">
        <f>IF($B236="","","A-1231")</f>
        <v/>
      </c>
      <c r="B236" s="24"/>
      <c r="C236" s="23"/>
      <c r="D236" s="28"/>
      <c r="E236" s="23"/>
      <c r="F236" s="23"/>
      <c r="G236" s="28"/>
      <c r="H236" s="28"/>
      <c r="I236" s="28"/>
      <c r="J236" s="28"/>
      <c r="K236" s="28"/>
      <c r="L236" s="28"/>
      <c r="M236" s="28"/>
      <c r="N236" s="28"/>
      <c r="O236" s="28"/>
      <c r="P236" s="28"/>
      <c r="Q236" s="28"/>
      <c r="R236" s="28"/>
      <c r="S236" s="28"/>
      <c r="T236" s="28"/>
      <c r="U236" s="28"/>
      <c r="V236" s="17">
        <f>IF($B236="","",COUNTIF(G236:U236,"OK"))</f>
        <v/>
      </c>
      <c r="W236" s="17">
        <f>IF($B236="","",COUNTIF(G236:U236,"NOK"))</f>
        <v/>
      </c>
      <c r="X236" s="9">
        <f>IF($B236="","",IF(V236+W236=0,"",V236/(V236+W236)))</f>
        <v/>
      </c>
      <c r="Y236" s="17">
        <f>IF(X236="","",IF(X236&gt;=Setup!$C$7,"PASS","FAIL"))</f>
        <v/>
      </c>
      <c r="Z236" s="17">
        <f>IF($B236="","",IF(W236=0,"",IF(COUNTIF(Findings!$B$6:$B$305,$A236)&gt;=W236,"OK","LOG FINDING")))</f>
        <v/>
      </c>
    </row>
    <row r="237" spans="1:26">
      <c r="A237" s="17">
        <f>IF($B237="","","A-1232")</f>
        <v/>
      </c>
      <c r="B237" s="24"/>
      <c r="C237" s="23"/>
      <c r="D237" s="28"/>
      <c r="E237" s="23"/>
      <c r="F237" s="23"/>
      <c r="G237" s="28"/>
      <c r="H237" s="28"/>
      <c r="I237" s="28"/>
      <c r="J237" s="28"/>
      <c r="K237" s="28"/>
      <c r="L237" s="28"/>
      <c r="M237" s="28"/>
      <c r="N237" s="28"/>
      <c r="O237" s="28"/>
      <c r="P237" s="28"/>
      <c r="Q237" s="28"/>
      <c r="R237" s="28"/>
      <c r="S237" s="28"/>
      <c r="T237" s="28"/>
      <c r="U237" s="28"/>
      <c r="V237" s="17">
        <f>IF($B237="","",COUNTIF(G237:U237,"OK"))</f>
        <v/>
      </c>
      <c r="W237" s="17">
        <f>IF($B237="","",COUNTIF(G237:U237,"NOK"))</f>
        <v/>
      </c>
      <c r="X237" s="9">
        <f>IF($B237="","",IF(V237+W237=0,"",V237/(V237+W237)))</f>
        <v/>
      </c>
      <c r="Y237" s="17">
        <f>IF(X237="","",IF(X237&gt;=Setup!$C$7,"PASS","FAIL"))</f>
        <v/>
      </c>
      <c r="Z237" s="17">
        <f>IF($B237="","",IF(W237=0,"",IF(COUNTIF(Findings!$B$6:$B$305,$A237)&gt;=W237,"OK","LOG FINDING")))</f>
        <v/>
      </c>
    </row>
    <row r="238" spans="1:26">
      <c r="A238" s="17">
        <f>IF($B238="","","A-1233")</f>
        <v/>
      </c>
      <c r="B238" s="24"/>
      <c r="C238" s="23"/>
      <c r="D238" s="28"/>
      <c r="E238" s="23"/>
      <c r="F238" s="23"/>
      <c r="G238" s="28"/>
      <c r="H238" s="28"/>
      <c r="I238" s="28"/>
      <c r="J238" s="28"/>
      <c r="K238" s="28"/>
      <c r="L238" s="28"/>
      <c r="M238" s="28"/>
      <c r="N238" s="28"/>
      <c r="O238" s="28"/>
      <c r="P238" s="28"/>
      <c r="Q238" s="28"/>
      <c r="R238" s="28"/>
      <c r="S238" s="28"/>
      <c r="T238" s="28"/>
      <c r="U238" s="28"/>
      <c r="V238" s="17">
        <f>IF($B238="","",COUNTIF(G238:U238,"OK"))</f>
        <v/>
      </c>
      <c r="W238" s="17">
        <f>IF($B238="","",COUNTIF(G238:U238,"NOK"))</f>
        <v/>
      </c>
      <c r="X238" s="9">
        <f>IF($B238="","",IF(V238+W238=0,"",V238/(V238+W238)))</f>
        <v/>
      </c>
      <c r="Y238" s="17">
        <f>IF(X238="","",IF(X238&gt;=Setup!$C$7,"PASS","FAIL"))</f>
        <v/>
      </c>
      <c r="Z238" s="17">
        <f>IF($B238="","",IF(W238=0,"",IF(COUNTIF(Findings!$B$6:$B$305,$A238)&gt;=W238,"OK","LOG FINDING")))</f>
        <v/>
      </c>
    </row>
    <row r="239" spans="1:26">
      <c r="A239" s="17">
        <f>IF($B239="","","A-1234")</f>
        <v/>
      </c>
      <c r="B239" s="24"/>
      <c r="C239" s="23"/>
      <c r="D239" s="28"/>
      <c r="E239" s="23"/>
      <c r="F239" s="23"/>
      <c r="G239" s="28"/>
      <c r="H239" s="28"/>
      <c r="I239" s="28"/>
      <c r="J239" s="28"/>
      <c r="K239" s="28"/>
      <c r="L239" s="28"/>
      <c r="M239" s="28"/>
      <c r="N239" s="28"/>
      <c r="O239" s="28"/>
      <c r="P239" s="28"/>
      <c r="Q239" s="28"/>
      <c r="R239" s="28"/>
      <c r="S239" s="28"/>
      <c r="T239" s="28"/>
      <c r="U239" s="28"/>
      <c r="V239" s="17">
        <f>IF($B239="","",COUNTIF(G239:U239,"OK"))</f>
        <v/>
      </c>
      <c r="W239" s="17">
        <f>IF($B239="","",COUNTIF(G239:U239,"NOK"))</f>
        <v/>
      </c>
      <c r="X239" s="9">
        <f>IF($B239="","",IF(V239+W239=0,"",V239/(V239+W239)))</f>
        <v/>
      </c>
      <c r="Y239" s="17">
        <f>IF(X239="","",IF(X239&gt;=Setup!$C$7,"PASS","FAIL"))</f>
        <v/>
      </c>
      <c r="Z239" s="17">
        <f>IF($B239="","",IF(W239=0,"",IF(COUNTIF(Findings!$B$6:$B$305,$A239)&gt;=W239,"OK","LOG FINDING")))</f>
        <v/>
      </c>
    </row>
    <row r="240" spans="1:26">
      <c r="A240" s="17">
        <f>IF($B240="","","A-1235")</f>
        <v/>
      </c>
      <c r="B240" s="24"/>
      <c r="C240" s="23"/>
      <c r="D240" s="28"/>
      <c r="E240" s="23"/>
      <c r="F240" s="23"/>
      <c r="G240" s="28"/>
      <c r="H240" s="28"/>
      <c r="I240" s="28"/>
      <c r="J240" s="28"/>
      <c r="K240" s="28"/>
      <c r="L240" s="28"/>
      <c r="M240" s="28"/>
      <c r="N240" s="28"/>
      <c r="O240" s="28"/>
      <c r="P240" s="28"/>
      <c r="Q240" s="28"/>
      <c r="R240" s="28"/>
      <c r="S240" s="28"/>
      <c r="T240" s="28"/>
      <c r="U240" s="28"/>
      <c r="V240" s="17">
        <f>IF($B240="","",COUNTIF(G240:U240,"OK"))</f>
        <v/>
      </c>
      <c r="W240" s="17">
        <f>IF($B240="","",COUNTIF(G240:U240,"NOK"))</f>
        <v/>
      </c>
      <c r="X240" s="9">
        <f>IF($B240="","",IF(V240+W240=0,"",V240/(V240+W240)))</f>
        <v/>
      </c>
      <c r="Y240" s="17">
        <f>IF(X240="","",IF(X240&gt;=Setup!$C$7,"PASS","FAIL"))</f>
        <v/>
      </c>
      <c r="Z240" s="17">
        <f>IF($B240="","",IF(W240=0,"",IF(COUNTIF(Findings!$B$6:$B$305,$A240)&gt;=W240,"OK","LOG FINDING")))</f>
        <v/>
      </c>
    </row>
    <row r="241" spans="1:26">
      <c r="A241" s="17">
        <f>IF($B241="","","A-1236")</f>
        <v/>
      </c>
      <c r="B241" s="24"/>
      <c r="C241" s="23"/>
      <c r="D241" s="28"/>
      <c r="E241" s="23"/>
      <c r="F241" s="23"/>
      <c r="G241" s="28"/>
      <c r="H241" s="28"/>
      <c r="I241" s="28"/>
      <c r="J241" s="28"/>
      <c r="K241" s="28"/>
      <c r="L241" s="28"/>
      <c r="M241" s="28"/>
      <c r="N241" s="28"/>
      <c r="O241" s="28"/>
      <c r="P241" s="28"/>
      <c r="Q241" s="28"/>
      <c r="R241" s="28"/>
      <c r="S241" s="28"/>
      <c r="T241" s="28"/>
      <c r="U241" s="28"/>
      <c r="V241" s="17">
        <f>IF($B241="","",COUNTIF(G241:U241,"OK"))</f>
        <v/>
      </c>
      <c r="W241" s="17">
        <f>IF($B241="","",COUNTIF(G241:U241,"NOK"))</f>
        <v/>
      </c>
      <c r="X241" s="9">
        <f>IF($B241="","",IF(V241+W241=0,"",V241/(V241+W241)))</f>
        <v/>
      </c>
      <c r="Y241" s="17">
        <f>IF(X241="","",IF(X241&gt;=Setup!$C$7,"PASS","FAIL"))</f>
        <v/>
      </c>
      <c r="Z241" s="17">
        <f>IF($B241="","",IF(W241=0,"",IF(COUNTIF(Findings!$B$6:$B$305,$A241)&gt;=W241,"OK","LOG FINDING")))</f>
        <v/>
      </c>
    </row>
    <row r="242" spans="1:26">
      <c r="A242" s="17">
        <f>IF($B242="","","A-1237")</f>
        <v/>
      </c>
      <c r="B242" s="24"/>
      <c r="C242" s="23"/>
      <c r="D242" s="28"/>
      <c r="E242" s="23"/>
      <c r="F242" s="23"/>
      <c r="G242" s="28"/>
      <c r="H242" s="28"/>
      <c r="I242" s="28"/>
      <c r="J242" s="28"/>
      <c r="K242" s="28"/>
      <c r="L242" s="28"/>
      <c r="M242" s="28"/>
      <c r="N242" s="28"/>
      <c r="O242" s="28"/>
      <c r="P242" s="28"/>
      <c r="Q242" s="28"/>
      <c r="R242" s="28"/>
      <c r="S242" s="28"/>
      <c r="T242" s="28"/>
      <c r="U242" s="28"/>
      <c r="V242" s="17">
        <f>IF($B242="","",COUNTIF(G242:U242,"OK"))</f>
        <v/>
      </c>
      <c r="W242" s="17">
        <f>IF($B242="","",COUNTIF(G242:U242,"NOK"))</f>
        <v/>
      </c>
      <c r="X242" s="9">
        <f>IF($B242="","",IF(V242+W242=0,"",V242/(V242+W242)))</f>
        <v/>
      </c>
      <c r="Y242" s="17">
        <f>IF(X242="","",IF(X242&gt;=Setup!$C$7,"PASS","FAIL"))</f>
        <v/>
      </c>
      <c r="Z242" s="17">
        <f>IF($B242="","",IF(W242=0,"",IF(COUNTIF(Findings!$B$6:$B$305,$A242)&gt;=W242,"OK","LOG FINDING")))</f>
        <v/>
      </c>
    </row>
    <row r="243" spans="1:26">
      <c r="A243" s="17">
        <f>IF($B243="","","A-1238")</f>
        <v/>
      </c>
      <c r="B243" s="24"/>
      <c r="C243" s="23"/>
      <c r="D243" s="28"/>
      <c r="E243" s="23"/>
      <c r="F243" s="23"/>
      <c r="G243" s="28"/>
      <c r="H243" s="28"/>
      <c r="I243" s="28"/>
      <c r="J243" s="28"/>
      <c r="K243" s="28"/>
      <c r="L243" s="28"/>
      <c r="M243" s="28"/>
      <c r="N243" s="28"/>
      <c r="O243" s="28"/>
      <c r="P243" s="28"/>
      <c r="Q243" s="28"/>
      <c r="R243" s="28"/>
      <c r="S243" s="28"/>
      <c r="T243" s="28"/>
      <c r="U243" s="28"/>
      <c r="V243" s="17">
        <f>IF($B243="","",COUNTIF(G243:U243,"OK"))</f>
        <v/>
      </c>
      <c r="W243" s="17">
        <f>IF($B243="","",COUNTIF(G243:U243,"NOK"))</f>
        <v/>
      </c>
      <c r="X243" s="9">
        <f>IF($B243="","",IF(V243+W243=0,"",V243/(V243+W243)))</f>
        <v/>
      </c>
      <c r="Y243" s="17">
        <f>IF(X243="","",IF(X243&gt;=Setup!$C$7,"PASS","FAIL"))</f>
        <v/>
      </c>
      <c r="Z243" s="17">
        <f>IF($B243="","",IF(W243=0,"",IF(COUNTIF(Findings!$B$6:$B$305,$A243)&gt;=W243,"OK","LOG FINDING")))</f>
        <v/>
      </c>
    </row>
    <row r="244" spans="1:26">
      <c r="A244" s="17">
        <f>IF($B244="","","A-1239")</f>
        <v/>
      </c>
      <c r="B244" s="24"/>
      <c r="C244" s="23"/>
      <c r="D244" s="28"/>
      <c r="E244" s="23"/>
      <c r="F244" s="23"/>
      <c r="G244" s="28"/>
      <c r="H244" s="28"/>
      <c r="I244" s="28"/>
      <c r="J244" s="28"/>
      <c r="K244" s="28"/>
      <c r="L244" s="28"/>
      <c r="M244" s="28"/>
      <c r="N244" s="28"/>
      <c r="O244" s="28"/>
      <c r="P244" s="28"/>
      <c r="Q244" s="28"/>
      <c r="R244" s="28"/>
      <c r="S244" s="28"/>
      <c r="T244" s="28"/>
      <c r="U244" s="28"/>
      <c r="V244" s="17">
        <f>IF($B244="","",COUNTIF(G244:U244,"OK"))</f>
        <v/>
      </c>
      <c r="W244" s="17">
        <f>IF($B244="","",COUNTIF(G244:U244,"NOK"))</f>
        <v/>
      </c>
      <c r="X244" s="9">
        <f>IF($B244="","",IF(V244+W244=0,"",V244/(V244+W244)))</f>
        <v/>
      </c>
      <c r="Y244" s="17">
        <f>IF(X244="","",IF(X244&gt;=Setup!$C$7,"PASS","FAIL"))</f>
        <v/>
      </c>
      <c r="Z244" s="17">
        <f>IF($B244="","",IF(W244=0,"",IF(COUNTIF(Findings!$B$6:$B$305,$A244)&gt;=W244,"OK","LOG FINDING")))</f>
        <v/>
      </c>
    </row>
    <row r="245" spans="1:26">
      <c r="A245" s="17">
        <f>IF($B245="","","A-1240")</f>
        <v/>
      </c>
      <c r="B245" s="24"/>
      <c r="C245" s="23"/>
      <c r="D245" s="28"/>
      <c r="E245" s="23"/>
      <c r="F245" s="23"/>
      <c r="G245" s="28"/>
      <c r="H245" s="28"/>
      <c r="I245" s="28"/>
      <c r="J245" s="28"/>
      <c r="K245" s="28"/>
      <c r="L245" s="28"/>
      <c r="M245" s="28"/>
      <c r="N245" s="28"/>
      <c r="O245" s="28"/>
      <c r="P245" s="28"/>
      <c r="Q245" s="28"/>
      <c r="R245" s="28"/>
      <c r="S245" s="28"/>
      <c r="T245" s="28"/>
      <c r="U245" s="28"/>
      <c r="V245" s="17">
        <f>IF($B245="","",COUNTIF(G245:U245,"OK"))</f>
        <v/>
      </c>
      <c r="W245" s="17">
        <f>IF($B245="","",COUNTIF(G245:U245,"NOK"))</f>
        <v/>
      </c>
      <c r="X245" s="9">
        <f>IF($B245="","",IF(V245+W245=0,"",V245/(V245+W245)))</f>
        <v/>
      </c>
      <c r="Y245" s="17">
        <f>IF(X245="","",IF(X245&gt;=Setup!$C$7,"PASS","FAIL"))</f>
        <v/>
      </c>
      <c r="Z245" s="17">
        <f>IF($B245="","",IF(W245=0,"",IF(COUNTIF(Findings!$B$6:$B$305,$A245)&gt;=W245,"OK","LOG FINDING")))</f>
        <v/>
      </c>
    </row>
    <row r="246" spans="1:26">
      <c r="A246" s="17">
        <f>IF($B246="","","A-1241")</f>
        <v/>
      </c>
      <c r="B246" s="24"/>
      <c r="C246" s="23"/>
      <c r="D246" s="28"/>
      <c r="E246" s="23"/>
      <c r="F246" s="23"/>
      <c r="G246" s="28"/>
      <c r="H246" s="28"/>
      <c r="I246" s="28"/>
      <c r="J246" s="28"/>
      <c r="K246" s="28"/>
      <c r="L246" s="28"/>
      <c r="M246" s="28"/>
      <c r="N246" s="28"/>
      <c r="O246" s="28"/>
      <c r="P246" s="28"/>
      <c r="Q246" s="28"/>
      <c r="R246" s="28"/>
      <c r="S246" s="28"/>
      <c r="T246" s="28"/>
      <c r="U246" s="28"/>
      <c r="V246" s="17">
        <f>IF($B246="","",COUNTIF(G246:U246,"OK"))</f>
        <v/>
      </c>
      <c r="W246" s="17">
        <f>IF($B246="","",COUNTIF(G246:U246,"NOK"))</f>
        <v/>
      </c>
      <c r="X246" s="9">
        <f>IF($B246="","",IF(V246+W246=0,"",V246/(V246+W246)))</f>
        <v/>
      </c>
      <c r="Y246" s="17">
        <f>IF(X246="","",IF(X246&gt;=Setup!$C$7,"PASS","FAIL"))</f>
        <v/>
      </c>
      <c r="Z246" s="17">
        <f>IF($B246="","",IF(W246=0,"",IF(COUNTIF(Findings!$B$6:$B$305,$A246)&gt;=W246,"OK","LOG FINDING")))</f>
        <v/>
      </c>
    </row>
    <row r="247" spans="1:26">
      <c r="A247" s="17">
        <f>IF($B247="","","A-1242")</f>
        <v/>
      </c>
      <c r="B247" s="24"/>
      <c r="C247" s="23"/>
      <c r="D247" s="28"/>
      <c r="E247" s="23"/>
      <c r="F247" s="23"/>
      <c r="G247" s="28"/>
      <c r="H247" s="28"/>
      <c r="I247" s="28"/>
      <c r="J247" s="28"/>
      <c r="K247" s="28"/>
      <c r="L247" s="28"/>
      <c r="M247" s="28"/>
      <c r="N247" s="28"/>
      <c r="O247" s="28"/>
      <c r="P247" s="28"/>
      <c r="Q247" s="28"/>
      <c r="R247" s="28"/>
      <c r="S247" s="28"/>
      <c r="T247" s="28"/>
      <c r="U247" s="28"/>
      <c r="V247" s="17">
        <f>IF($B247="","",COUNTIF(G247:U247,"OK"))</f>
        <v/>
      </c>
      <c r="W247" s="17">
        <f>IF($B247="","",COUNTIF(G247:U247,"NOK"))</f>
        <v/>
      </c>
      <c r="X247" s="9">
        <f>IF($B247="","",IF(V247+W247=0,"",V247/(V247+W247)))</f>
        <v/>
      </c>
      <c r="Y247" s="17">
        <f>IF(X247="","",IF(X247&gt;=Setup!$C$7,"PASS","FAIL"))</f>
        <v/>
      </c>
      <c r="Z247" s="17">
        <f>IF($B247="","",IF(W247=0,"",IF(COUNTIF(Findings!$B$6:$B$305,$A247)&gt;=W247,"OK","LOG FINDING")))</f>
        <v/>
      </c>
    </row>
    <row r="248" spans="1:26">
      <c r="A248" s="17">
        <f>IF($B248="","","A-1243")</f>
        <v/>
      </c>
      <c r="B248" s="24"/>
      <c r="C248" s="23"/>
      <c r="D248" s="28"/>
      <c r="E248" s="23"/>
      <c r="F248" s="23"/>
      <c r="G248" s="28"/>
      <c r="H248" s="28"/>
      <c r="I248" s="28"/>
      <c r="J248" s="28"/>
      <c r="K248" s="28"/>
      <c r="L248" s="28"/>
      <c r="M248" s="28"/>
      <c r="N248" s="28"/>
      <c r="O248" s="28"/>
      <c r="P248" s="28"/>
      <c r="Q248" s="28"/>
      <c r="R248" s="28"/>
      <c r="S248" s="28"/>
      <c r="T248" s="28"/>
      <c r="U248" s="28"/>
      <c r="V248" s="17">
        <f>IF($B248="","",COUNTIF(G248:U248,"OK"))</f>
        <v/>
      </c>
      <c r="W248" s="17">
        <f>IF($B248="","",COUNTIF(G248:U248,"NOK"))</f>
        <v/>
      </c>
      <c r="X248" s="9">
        <f>IF($B248="","",IF(V248+W248=0,"",V248/(V248+W248)))</f>
        <v/>
      </c>
      <c r="Y248" s="17">
        <f>IF(X248="","",IF(X248&gt;=Setup!$C$7,"PASS","FAIL"))</f>
        <v/>
      </c>
      <c r="Z248" s="17">
        <f>IF($B248="","",IF(W248=0,"",IF(COUNTIF(Findings!$B$6:$B$305,$A248)&gt;=W248,"OK","LOG FINDING")))</f>
        <v/>
      </c>
    </row>
    <row r="249" spans="1:26">
      <c r="A249" s="17">
        <f>IF($B249="","","A-1244")</f>
        <v/>
      </c>
      <c r="B249" s="24"/>
      <c r="C249" s="23"/>
      <c r="D249" s="28"/>
      <c r="E249" s="23"/>
      <c r="F249" s="23"/>
      <c r="G249" s="28"/>
      <c r="H249" s="28"/>
      <c r="I249" s="28"/>
      <c r="J249" s="28"/>
      <c r="K249" s="28"/>
      <c r="L249" s="28"/>
      <c r="M249" s="28"/>
      <c r="N249" s="28"/>
      <c r="O249" s="28"/>
      <c r="P249" s="28"/>
      <c r="Q249" s="28"/>
      <c r="R249" s="28"/>
      <c r="S249" s="28"/>
      <c r="T249" s="28"/>
      <c r="U249" s="28"/>
      <c r="V249" s="17">
        <f>IF($B249="","",COUNTIF(G249:U249,"OK"))</f>
        <v/>
      </c>
      <c r="W249" s="17">
        <f>IF($B249="","",COUNTIF(G249:U249,"NOK"))</f>
        <v/>
      </c>
      <c r="X249" s="9">
        <f>IF($B249="","",IF(V249+W249=0,"",V249/(V249+W249)))</f>
        <v/>
      </c>
      <c r="Y249" s="17">
        <f>IF(X249="","",IF(X249&gt;=Setup!$C$7,"PASS","FAIL"))</f>
        <v/>
      </c>
      <c r="Z249" s="17">
        <f>IF($B249="","",IF(W249=0,"",IF(COUNTIF(Findings!$B$6:$B$305,$A249)&gt;=W249,"OK","LOG FINDING")))</f>
        <v/>
      </c>
    </row>
    <row r="250" spans="1:26">
      <c r="A250" s="17">
        <f>IF($B250="","","A-1245")</f>
        <v/>
      </c>
      <c r="B250" s="24"/>
      <c r="C250" s="23"/>
      <c r="D250" s="28"/>
      <c r="E250" s="23"/>
      <c r="F250" s="23"/>
      <c r="G250" s="28"/>
      <c r="H250" s="28"/>
      <c r="I250" s="28"/>
      <c r="J250" s="28"/>
      <c r="K250" s="28"/>
      <c r="L250" s="28"/>
      <c r="M250" s="28"/>
      <c r="N250" s="28"/>
      <c r="O250" s="28"/>
      <c r="P250" s="28"/>
      <c r="Q250" s="28"/>
      <c r="R250" s="28"/>
      <c r="S250" s="28"/>
      <c r="T250" s="28"/>
      <c r="U250" s="28"/>
      <c r="V250" s="17">
        <f>IF($B250="","",COUNTIF(G250:U250,"OK"))</f>
        <v/>
      </c>
      <c r="W250" s="17">
        <f>IF($B250="","",COUNTIF(G250:U250,"NOK"))</f>
        <v/>
      </c>
      <c r="X250" s="9">
        <f>IF($B250="","",IF(V250+W250=0,"",V250/(V250+W250)))</f>
        <v/>
      </c>
      <c r="Y250" s="17">
        <f>IF(X250="","",IF(X250&gt;=Setup!$C$7,"PASS","FAIL"))</f>
        <v/>
      </c>
      <c r="Z250" s="17">
        <f>IF($B250="","",IF(W250=0,"",IF(COUNTIF(Findings!$B$6:$B$305,$A250)&gt;=W250,"OK","LOG FINDING")))</f>
        <v/>
      </c>
    </row>
    <row r="251" spans="1:26">
      <c r="A251" s="17">
        <f>IF($B251="","","A-1246")</f>
        <v/>
      </c>
      <c r="B251" s="24"/>
      <c r="C251" s="23"/>
      <c r="D251" s="28"/>
      <c r="E251" s="23"/>
      <c r="F251" s="23"/>
      <c r="G251" s="28"/>
      <c r="H251" s="28"/>
      <c r="I251" s="28"/>
      <c r="J251" s="28"/>
      <c r="K251" s="28"/>
      <c r="L251" s="28"/>
      <c r="M251" s="28"/>
      <c r="N251" s="28"/>
      <c r="O251" s="28"/>
      <c r="P251" s="28"/>
      <c r="Q251" s="28"/>
      <c r="R251" s="28"/>
      <c r="S251" s="28"/>
      <c r="T251" s="28"/>
      <c r="U251" s="28"/>
      <c r="V251" s="17">
        <f>IF($B251="","",COUNTIF(G251:U251,"OK"))</f>
        <v/>
      </c>
      <c r="W251" s="17">
        <f>IF($B251="","",COUNTIF(G251:U251,"NOK"))</f>
        <v/>
      </c>
      <c r="X251" s="9">
        <f>IF($B251="","",IF(V251+W251=0,"",V251/(V251+W251)))</f>
        <v/>
      </c>
      <c r="Y251" s="17">
        <f>IF(X251="","",IF(X251&gt;=Setup!$C$7,"PASS","FAIL"))</f>
        <v/>
      </c>
      <c r="Z251" s="17">
        <f>IF($B251="","",IF(W251=0,"",IF(COUNTIF(Findings!$B$6:$B$305,$A251)&gt;=W251,"OK","LOG FINDING")))</f>
        <v/>
      </c>
    </row>
    <row r="252" spans="1:26">
      <c r="A252" s="17">
        <f>IF($B252="","","A-1247")</f>
        <v/>
      </c>
      <c r="B252" s="24"/>
      <c r="C252" s="23"/>
      <c r="D252" s="28"/>
      <c r="E252" s="23"/>
      <c r="F252" s="23"/>
      <c r="G252" s="28"/>
      <c r="H252" s="28"/>
      <c r="I252" s="28"/>
      <c r="J252" s="28"/>
      <c r="K252" s="28"/>
      <c r="L252" s="28"/>
      <c r="M252" s="28"/>
      <c r="N252" s="28"/>
      <c r="O252" s="28"/>
      <c r="P252" s="28"/>
      <c r="Q252" s="28"/>
      <c r="R252" s="28"/>
      <c r="S252" s="28"/>
      <c r="T252" s="28"/>
      <c r="U252" s="28"/>
      <c r="V252" s="17">
        <f>IF($B252="","",COUNTIF(G252:U252,"OK"))</f>
        <v/>
      </c>
      <c r="W252" s="17">
        <f>IF($B252="","",COUNTIF(G252:U252,"NOK"))</f>
        <v/>
      </c>
      <c r="X252" s="9">
        <f>IF($B252="","",IF(V252+W252=0,"",V252/(V252+W252)))</f>
        <v/>
      </c>
      <c r="Y252" s="17">
        <f>IF(X252="","",IF(X252&gt;=Setup!$C$7,"PASS","FAIL"))</f>
        <v/>
      </c>
      <c r="Z252" s="17">
        <f>IF($B252="","",IF(W252=0,"",IF(COUNTIF(Findings!$B$6:$B$305,$A252)&gt;=W252,"OK","LOG FINDING")))</f>
        <v/>
      </c>
    </row>
    <row r="253" spans="1:26">
      <c r="A253" s="17">
        <f>IF($B253="","","A-1248")</f>
        <v/>
      </c>
      <c r="B253" s="24"/>
      <c r="C253" s="23"/>
      <c r="D253" s="28"/>
      <c r="E253" s="23"/>
      <c r="F253" s="23"/>
      <c r="G253" s="28"/>
      <c r="H253" s="28"/>
      <c r="I253" s="28"/>
      <c r="J253" s="28"/>
      <c r="K253" s="28"/>
      <c r="L253" s="28"/>
      <c r="M253" s="28"/>
      <c r="N253" s="28"/>
      <c r="O253" s="28"/>
      <c r="P253" s="28"/>
      <c r="Q253" s="28"/>
      <c r="R253" s="28"/>
      <c r="S253" s="28"/>
      <c r="T253" s="28"/>
      <c r="U253" s="28"/>
      <c r="V253" s="17">
        <f>IF($B253="","",COUNTIF(G253:U253,"OK"))</f>
        <v/>
      </c>
      <c r="W253" s="17">
        <f>IF($B253="","",COUNTIF(G253:U253,"NOK"))</f>
        <v/>
      </c>
      <c r="X253" s="9">
        <f>IF($B253="","",IF(V253+W253=0,"",V253/(V253+W253)))</f>
        <v/>
      </c>
      <c r="Y253" s="17">
        <f>IF(X253="","",IF(X253&gt;=Setup!$C$7,"PASS","FAIL"))</f>
        <v/>
      </c>
      <c r="Z253" s="17">
        <f>IF($B253="","",IF(W253=0,"",IF(COUNTIF(Findings!$B$6:$B$305,$A253)&gt;=W253,"OK","LOG FINDING")))</f>
        <v/>
      </c>
    </row>
    <row r="254" spans="1:26">
      <c r="A254" s="17">
        <f>IF($B254="","","A-1249")</f>
        <v/>
      </c>
      <c r="B254" s="24"/>
      <c r="C254" s="23"/>
      <c r="D254" s="28"/>
      <c r="E254" s="23"/>
      <c r="F254" s="23"/>
      <c r="G254" s="28"/>
      <c r="H254" s="28"/>
      <c r="I254" s="28"/>
      <c r="J254" s="28"/>
      <c r="K254" s="28"/>
      <c r="L254" s="28"/>
      <c r="M254" s="28"/>
      <c r="N254" s="28"/>
      <c r="O254" s="28"/>
      <c r="P254" s="28"/>
      <c r="Q254" s="28"/>
      <c r="R254" s="28"/>
      <c r="S254" s="28"/>
      <c r="T254" s="28"/>
      <c r="U254" s="28"/>
      <c r="V254" s="17">
        <f>IF($B254="","",COUNTIF(G254:U254,"OK"))</f>
        <v/>
      </c>
      <c r="W254" s="17">
        <f>IF($B254="","",COUNTIF(G254:U254,"NOK"))</f>
        <v/>
      </c>
      <c r="X254" s="9">
        <f>IF($B254="","",IF(V254+W254=0,"",V254/(V254+W254)))</f>
        <v/>
      </c>
      <c r="Y254" s="17">
        <f>IF(X254="","",IF(X254&gt;=Setup!$C$7,"PASS","FAIL"))</f>
        <v/>
      </c>
      <c r="Z254" s="17">
        <f>IF($B254="","",IF(W254=0,"",IF(COUNTIF(Findings!$B$6:$B$305,$A254)&gt;=W254,"OK","LOG FINDING")))</f>
        <v/>
      </c>
    </row>
    <row r="255" spans="1:26">
      <c r="A255" s="17">
        <f>IF($B255="","","A-1250")</f>
        <v/>
      </c>
      <c r="B255" s="24"/>
      <c r="C255" s="23"/>
      <c r="D255" s="28"/>
      <c r="E255" s="23"/>
      <c r="F255" s="23"/>
      <c r="G255" s="28"/>
      <c r="H255" s="28"/>
      <c r="I255" s="28"/>
      <c r="J255" s="28"/>
      <c r="K255" s="28"/>
      <c r="L255" s="28"/>
      <c r="M255" s="28"/>
      <c r="N255" s="28"/>
      <c r="O255" s="28"/>
      <c r="P255" s="28"/>
      <c r="Q255" s="28"/>
      <c r="R255" s="28"/>
      <c r="S255" s="28"/>
      <c r="T255" s="28"/>
      <c r="U255" s="28"/>
      <c r="V255" s="17">
        <f>IF($B255="","",COUNTIF(G255:U255,"OK"))</f>
        <v/>
      </c>
      <c r="W255" s="17">
        <f>IF($B255="","",COUNTIF(G255:U255,"NOK"))</f>
        <v/>
      </c>
      <c r="X255" s="9">
        <f>IF($B255="","",IF(V255+W255=0,"",V255/(V255+W255)))</f>
        <v/>
      </c>
      <c r="Y255" s="17">
        <f>IF(X255="","",IF(X255&gt;=Setup!$C$7,"PASS","FAIL"))</f>
        <v/>
      </c>
      <c r="Z255" s="17">
        <f>IF($B255="","",IF(W255=0,"",IF(COUNTIF(Findings!$B$6:$B$305,$A255)&gt;=W255,"OK","LOG FINDING")))</f>
        <v/>
      </c>
    </row>
    <row r="256" spans="1:26">
      <c r="A256" s="17">
        <f>IF($B256="","","A-1251")</f>
        <v/>
      </c>
      <c r="B256" s="24"/>
      <c r="C256" s="23"/>
      <c r="D256" s="28"/>
      <c r="E256" s="23"/>
      <c r="F256" s="23"/>
      <c r="G256" s="28"/>
      <c r="H256" s="28"/>
      <c r="I256" s="28"/>
      <c r="J256" s="28"/>
      <c r="K256" s="28"/>
      <c r="L256" s="28"/>
      <c r="M256" s="28"/>
      <c r="N256" s="28"/>
      <c r="O256" s="28"/>
      <c r="P256" s="28"/>
      <c r="Q256" s="28"/>
      <c r="R256" s="28"/>
      <c r="S256" s="28"/>
      <c r="T256" s="28"/>
      <c r="U256" s="28"/>
      <c r="V256" s="17">
        <f>IF($B256="","",COUNTIF(G256:U256,"OK"))</f>
        <v/>
      </c>
      <c r="W256" s="17">
        <f>IF($B256="","",COUNTIF(G256:U256,"NOK"))</f>
        <v/>
      </c>
      <c r="X256" s="9">
        <f>IF($B256="","",IF(V256+W256=0,"",V256/(V256+W256)))</f>
        <v/>
      </c>
      <c r="Y256" s="17">
        <f>IF(X256="","",IF(X256&gt;=Setup!$C$7,"PASS","FAIL"))</f>
        <v/>
      </c>
      <c r="Z256" s="17">
        <f>IF($B256="","",IF(W256=0,"",IF(COUNTIF(Findings!$B$6:$B$305,$A256)&gt;=W256,"OK","LOG FINDING")))</f>
        <v/>
      </c>
    </row>
    <row r="257" spans="1:26">
      <c r="A257" s="17">
        <f>IF($B257="","","A-1252")</f>
        <v/>
      </c>
      <c r="B257" s="24"/>
      <c r="C257" s="23"/>
      <c r="D257" s="28"/>
      <c r="E257" s="23"/>
      <c r="F257" s="23"/>
      <c r="G257" s="28"/>
      <c r="H257" s="28"/>
      <c r="I257" s="28"/>
      <c r="J257" s="28"/>
      <c r="K257" s="28"/>
      <c r="L257" s="28"/>
      <c r="M257" s="28"/>
      <c r="N257" s="28"/>
      <c r="O257" s="28"/>
      <c r="P257" s="28"/>
      <c r="Q257" s="28"/>
      <c r="R257" s="28"/>
      <c r="S257" s="28"/>
      <c r="T257" s="28"/>
      <c r="U257" s="28"/>
      <c r="V257" s="17">
        <f>IF($B257="","",COUNTIF(G257:U257,"OK"))</f>
        <v/>
      </c>
      <c r="W257" s="17">
        <f>IF($B257="","",COUNTIF(G257:U257,"NOK"))</f>
        <v/>
      </c>
      <c r="X257" s="9">
        <f>IF($B257="","",IF(V257+W257=0,"",V257/(V257+W257)))</f>
        <v/>
      </c>
      <c r="Y257" s="17">
        <f>IF(X257="","",IF(X257&gt;=Setup!$C$7,"PASS","FAIL"))</f>
        <v/>
      </c>
      <c r="Z257" s="17">
        <f>IF($B257="","",IF(W257=0,"",IF(COUNTIF(Findings!$B$6:$B$305,$A257)&gt;=W257,"OK","LOG FINDING")))</f>
        <v/>
      </c>
    </row>
    <row r="258" spans="1:26">
      <c r="A258" s="17">
        <f>IF($B258="","","A-1253")</f>
        <v/>
      </c>
      <c r="B258" s="24"/>
      <c r="C258" s="23"/>
      <c r="D258" s="28"/>
      <c r="E258" s="23"/>
      <c r="F258" s="23"/>
      <c r="G258" s="28"/>
      <c r="H258" s="28"/>
      <c r="I258" s="28"/>
      <c r="J258" s="28"/>
      <c r="K258" s="28"/>
      <c r="L258" s="28"/>
      <c r="M258" s="28"/>
      <c r="N258" s="28"/>
      <c r="O258" s="28"/>
      <c r="P258" s="28"/>
      <c r="Q258" s="28"/>
      <c r="R258" s="28"/>
      <c r="S258" s="28"/>
      <c r="T258" s="28"/>
      <c r="U258" s="28"/>
      <c r="V258" s="17">
        <f>IF($B258="","",COUNTIF(G258:U258,"OK"))</f>
        <v/>
      </c>
      <c r="W258" s="17">
        <f>IF($B258="","",COUNTIF(G258:U258,"NOK"))</f>
        <v/>
      </c>
      <c r="X258" s="9">
        <f>IF($B258="","",IF(V258+W258=0,"",V258/(V258+W258)))</f>
        <v/>
      </c>
      <c r="Y258" s="17">
        <f>IF(X258="","",IF(X258&gt;=Setup!$C$7,"PASS","FAIL"))</f>
        <v/>
      </c>
      <c r="Z258" s="17">
        <f>IF($B258="","",IF(W258=0,"",IF(COUNTIF(Findings!$B$6:$B$305,$A258)&gt;=W258,"OK","LOG FINDING")))</f>
        <v/>
      </c>
    </row>
    <row r="259" spans="1:26">
      <c r="A259" s="17">
        <f>IF($B259="","","A-1254")</f>
        <v/>
      </c>
      <c r="B259" s="24"/>
      <c r="C259" s="23"/>
      <c r="D259" s="28"/>
      <c r="E259" s="23"/>
      <c r="F259" s="23"/>
      <c r="G259" s="28"/>
      <c r="H259" s="28"/>
      <c r="I259" s="28"/>
      <c r="J259" s="28"/>
      <c r="K259" s="28"/>
      <c r="L259" s="28"/>
      <c r="M259" s="28"/>
      <c r="N259" s="28"/>
      <c r="O259" s="28"/>
      <c r="P259" s="28"/>
      <c r="Q259" s="28"/>
      <c r="R259" s="28"/>
      <c r="S259" s="28"/>
      <c r="T259" s="28"/>
      <c r="U259" s="28"/>
      <c r="V259" s="17">
        <f>IF($B259="","",COUNTIF(G259:U259,"OK"))</f>
        <v/>
      </c>
      <c r="W259" s="17">
        <f>IF($B259="","",COUNTIF(G259:U259,"NOK"))</f>
        <v/>
      </c>
      <c r="X259" s="9">
        <f>IF($B259="","",IF(V259+W259=0,"",V259/(V259+W259)))</f>
        <v/>
      </c>
      <c r="Y259" s="17">
        <f>IF(X259="","",IF(X259&gt;=Setup!$C$7,"PASS","FAIL"))</f>
        <v/>
      </c>
      <c r="Z259" s="17">
        <f>IF($B259="","",IF(W259=0,"",IF(COUNTIF(Findings!$B$6:$B$305,$A259)&gt;=W259,"OK","LOG FINDING")))</f>
        <v/>
      </c>
    </row>
    <row r="260" spans="1:26">
      <c r="A260" s="17">
        <f>IF($B260="","","A-1255")</f>
        <v/>
      </c>
      <c r="B260" s="24"/>
      <c r="C260" s="23"/>
      <c r="D260" s="28"/>
      <c r="E260" s="23"/>
      <c r="F260" s="23"/>
      <c r="G260" s="28"/>
      <c r="H260" s="28"/>
      <c r="I260" s="28"/>
      <c r="J260" s="28"/>
      <c r="K260" s="28"/>
      <c r="L260" s="28"/>
      <c r="M260" s="28"/>
      <c r="N260" s="28"/>
      <c r="O260" s="28"/>
      <c r="P260" s="28"/>
      <c r="Q260" s="28"/>
      <c r="R260" s="28"/>
      <c r="S260" s="28"/>
      <c r="T260" s="28"/>
      <c r="U260" s="28"/>
      <c r="V260" s="17">
        <f>IF($B260="","",COUNTIF(G260:U260,"OK"))</f>
        <v/>
      </c>
      <c r="W260" s="17">
        <f>IF($B260="","",COUNTIF(G260:U260,"NOK"))</f>
        <v/>
      </c>
      <c r="X260" s="9">
        <f>IF($B260="","",IF(V260+W260=0,"",V260/(V260+W260)))</f>
        <v/>
      </c>
      <c r="Y260" s="17">
        <f>IF(X260="","",IF(X260&gt;=Setup!$C$7,"PASS","FAIL"))</f>
        <v/>
      </c>
      <c r="Z260" s="17">
        <f>IF($B260="","",IF(W260=0,"",IF(COUNTIF(Findings!$B$6:$B$305,$A260)&gt;=W260,"OK","LOG FINDING")))</f>
        <v/>
      </c>
    </row>
    <row r="261" spans="1:26">
      <c r="A261" s="17">
        <f>IF($B261="","","A-1256")</f>
        <v/>
      </c>
      <c r="B261" s="24"/>
      <c r="C261" s="23"/>
      <c r="D261" s="28"/>
      <c r="E261" s="23"/>
      <c r="F261" s="23"/>
      <c r="G261" s="28"/>
      <c r="H261" s="28"/>
      <c r="I261" s="28"/>
      <c r="J261" s="28"/>
      <c r="K261" s="28"/>
      <c r="L261" s="28"/>
      <c r="M261" s="28"/>
      <c r="N261" s="28"/>
      <c r="O261" s="28"/>
      <c r="P261" s="28"/>
      <c r="Q261" s="28"/>
      <c r="R261" s="28"/>
      <c r="S261" s="28"/>
      <c r="T261" s="28"/>
      <c r="U261" s="28"/>
      <c r="V261" s="17">
        <f>IF($B261="","",COUNTIF(G261:U261,"OK"))</f>
        <v/>
      </c>
      <c r="W261" s="17">
        <f>IF($B261="","",COUNTIF(G261:U261,"NOK"))</f>
        <v/>
      </c>
      <c r="X261" s="9">
        <f>IF($B261="","",IF(V261+W261=0,"",V261/(V261+W261)))</f>
        <v/>
      </c>
      <c r="Y261" s="17">
        <f>IF(X261="","",IF(X261&gt;=Setup!$C$7,"PASS","FAIL"))</f>
        <v/>
      </c>
      <c r="Z261" s="17">
        <f>IF($B261="","",IF(W261=0,"",IF(COUNTIF(Findings!$B$6:$B$305,$A261)&gt;=W261,"OK","LOG FINDING")))</f>
        <v/>
      </c>
    </row>
    <row r="262" spans="1:26">
      <c r="A262" s="17">
        <f>IF($B262="","","A-1257")</f>
        <v/>
      </c>
      <c r="B262" s="24"/>
      <c r="C262" s="23"/>
      <c r="D262" s="28"/>
      <c r="E262" s="23"/>
      <c r="F262" s="23"/>
      <c r="G262" s="28"/>
      <c r="H262" s="28"/>
      <c r="I262" s="28"/>
      <c r="J262" s="28"/>
      <c r="K262" s="28"/>
      <c r="L262" s="28"/>
      <c r="M262" s="28"/>
      <c r="N262" s="28"/>
      <c r="O262" s="28"/>
      <c r="P262" s="28"/>
      <c r="Q262" s="28"/>
      <c r="R262" s="28"/>
      <c r="S262" s="28"/>
      <c r="T262" s="28"/>
      <c r="U262" s="28"/>
      <c r="V262" s="17">
        <f>IF($B262="","",COUNTIF(G262:U262,"OK"))</f>
        <v/>
      </c>
      <c r="W262" s="17">
        <f>IF($B262="","",COUNTIF(G262:U262,"NOK"))</f>
        <v/>
      </c>
      <c r="X262" s="9">
        <f>IF($B262="","",IF(V262+W262=0,"",V262/(V262+W262)))</f>
        <v/>
      </c>
      <c r="Y262" s="17">
        <f>IF(X262="","",IF(X262&gt;=Setup!$C$7,"PASS","FAIL"))</f>
        <v/>
      </c>
      <c r="Z262" s="17">
        <f>IF($B262="","",IF(W262=0,"",IF(COUNTIF(Findings!$B$6:$B$305,$A262)&gt;=W262,"OK","LOG FINDING")))</f>
        <v/>
      </c>
    </row>
    <row r="263" spans="1:26">
      <c r="A263" s="17">
        <f>IF($B263="","","A-1258")</f>
        <v/>
      </c>
      <c r="B263" s="24"/>
      <c r="C263" s="23"/>
      <c r="D263" s="28"/>
      <c r="E263" s="23"/>
      <c r="F263" s="23"/>
      <c r="G263" s="28"/>
      <c r="H263" s="28"/>
      <c r="I263" s="28"/>
      <c r="J263" s="28"/>
      <c r="K263" s="28"/>
      <c r="L263" s="28"/>
      <c r="M263" s="28"/>
      <c r="N263" s="28"/>
      <c r="O263" s="28"/>
      <c r="P263" s="28"/>
      <c r="Q263" s="28"/>
      <c r="R263" s="28"/>
      <c r="S263" s="28"/>
      <c r="T263" s="28"/>
      <c r="U263" s="28"/>
      <c r="V263" s="17">
        <f>IF($B263="","",COUNTIF(G263:U263,"OK"))</f>
        <v/>
      </c>
      <c r="W263" s="17">
        <f>IF($B263="","",COUNTIF(G263:U263,"NOK"))</f>
        <v/>
      </c>
      <c r="X263" s="9">
        <f>IF($B263="","",IF(V263+W263=0,"",V263/(V263+W263)))</f>
        <v/>
      </c>
      <c r="Y263" s="17">
        <f>IF(X263="","",IF(X263&gt;=Setup!$C$7,"PASS","FAIL"))</f>
        <v/>
      </c>
      <c r="Z263" s="17">
        <f>IF($B263="","",IF(W263=0,"",IF(COUNTIF(Findings!$B$6:$B$305,$A263)&gt;=W263,"OK","LOG FINDING")))</f>
        <v/>
      </c>
    </row>
    <row r="264" spans="1:26">
      <c r="A264" s="17">
        <f>IF($B264="","","A-1259")</f>
        <v/>
      </c>
      <c r="B264" s="24"/>
      <c r="C264" s="23"/>
      <c r="D264" s="28"/>
      <c r="E264" s="23"/>
      <c r="F264" s="23"/>
      <c r="G264" s="28"/>
      <c r="H264" s="28"/>
      <c r="I264" s="28"/>
      <c r="J264" s="28"/>
      <c r="K264" s="28"/>
      <c r="L264" s="28"/>
      <c r="M264" s="28"/>
      <c r="N264" s="28"/>
      <c r="O264" s="28"/>
      <c r="P264" s="28"/>
      <c r="Q264" s="28"/>
      <c r="R264" s="28"/>
      <c r="S264" s="28"/>
      <c r="T264" s="28"/>
      <c r="U264" s="28"/>
      <c r="V264" s="17">
        <f>IF($B264="","",COUNTIF(G264:U264,"OK"))</f>
        <v/>
      </c>
      <c r="W264" s="17">
        <f>IF($B264="","",COUNTIF(G264:U264,"NOK"))</f>
        <v/>
      </c>
      <c r="X264" s="9">
        <f>IF($B264="","",IF(V264+W264=0,"",V264/(V264+W264)))</f>
        <v/>
      </c>
      <c r="Y264" s="17">
        <f>IF(X264="","",IF(X264&gt;=Setup!$C$7,"PASS","FAIL"))</f>
        <v/>
      </c>
      <c r="Z264" s="17">
        <f>IF($B264="","",IF(W264=0,"",IF(COUNTIF(Findings!$B$6:$B$305,$A264)&gt;=W264,"OK","LOG FINDING")))</f>
        <v/>
      </c>
    </row>
    <row r="265" spans="1:26">
      <c r="A265" s="17">
        <f>IF($B265="","","A-1260")</f>
        <v/>
      </c>
      <c r="B265" s="24"/>
      <c r="C265" s="23"/>
      <c r="D265" s="28"/>
      <c r="E265" s="23"/>
      <c r="F265" s="23"/>
      <c r="G265" s="28"/>
      <c r="H265" s="28"/>
      <c r="I265" s="28"/>
      <c r="J265" s="28"/>
      <c r="K265" s="28"/>
      <c r="L265" s="28"/>
      <c r="M265" s="28"/>
      <c r="N265" s="28"/>
      <c r="O265" s="28"/>
      <c r="P265" s="28"/>
      <c r="Q265" s="28"/>
      <c r="R265" s="28"/>
      <c r="S265" s="28"/>
      <c r="T265" s="28"/>
      <c r="U265" s="28"/>
      <c r="V265" s="17">
        <f>IF($B265="","",COUNTIF(G265:U265,"OK"))</f>
        <v/>
      </c>
      <c r="W265" s="17">
        <f>IF($B265="","",COUNTIF(G265:U265,"NOK"))</f>
        <v/>
      </c>
      <c r="X265" s="9">
        <f>IF($B265="","",IF(V265+W265=0,"",V265/(V265+W265)))</f>
        <v/>
      </c>
      <c r="Y265" s="17">
        <f>IF(X265="","",IF(X265&gt;=Setup!$C$7,"PASS","FAIL"))</f>
        <v/>
      </c>
      <c r="Z265" s="17">
        <f>IF($B265="","",IF(W265=0,"",IF(COUNTIF(Findings!$B$6:$B$305,$A265)&gt;=W265,"OK","LOG FINDING")))</f>
        <v/>
      </c>
    </row>
    <row r="266" spans="1:26">
      <c r="A266" s="17">
        <f>IF($B266="","","A-1261")</f>
        <v/>
      </c>
      <c r="B266" s="24"/>
      <c r="C266" s="23"/>
      <c r="D266" s="28"/>
      <c r="E266" s="23"/>
      <c r="F266" s="23"/>
      <c r="G266" s="28"/>
      <c r="H266" s="28"/>
      <c r="I266" s="28"/>
      <c r="J266" s="28"/>
      <c r="K266" s="28"/>
      <c r="L266" s="28"/>
      <c r="M266" s="28"/>
      <c r="N266" s="28"/>
      <c r="O266" s="28"/>
      <c r="P266" s="28"/>
      <c r="Q266" s="28"/>
      <c r="R266" s="28"/>
      <c r="S266" s="28"/>
      <c r="T266" s="28"/>
      <c r="U266" s="28"/>
      <c r="V266" s="17">
        <f>IF($B266="","",COUNTIF(G266:U266,"OK"))</f>
        <v/>
      </c>
      <c r="W266" s="17">
        <f>IF($B266="","",COUNTIF(G266:U266,"NOK"))</f>
        <v/>
      </c>
      <c r="X266" s="9">
        <f>IF($B266="","",IF(V266+W266=0,"",V266/(V266+W266)))</f>
        <v/>
      </c>
      <c r="Y266" s="17">
        <f>IF(X266="","",IF(X266&gt;=Setup!$C$7,"PASS","FAIL"))</f>
        <v/>
      </c>
      <c r="Z266" s="17">
        <f>IF($B266="","",IF(W266=0,"",IF(COUNTIF(Findings!$B$6:$B$305,$A266)&gt;=W266,"OK","LOG FINDING")))</f>
        <v/>
      </c>
    </row>
    <row r="267" spans="1:26">
      <c r="A267" s="17">
        <f>IF($B267="","","A-1262")</f>
        <v/>
      </c>
      <c r="B267" s="24"/>
      <c r="C267" s="23"/>
      <c r="D267" s="28"/>
      <c r="E267" s="23"/>
      <c r="F267" s="23"/>
      <c r="G267" s="28"/>
      <c r="H267" s="28"/>
      <c r="I267" s="28"/>
      <c r="J267" s="28"/>
      <c r="K267" s="28"/>
      <c r="L267" s="28"/>
      <c r="M267" s="28"/>
      <c r="N267" s="28"/>
      <c r="O267" s="28"/>
      <c r="P267" s="28"/>
      <c r="Q267" s="28"/>
      <c r="R267" s="28"/>
      <c r="S267" s="28"/>
      <c r="T267" s="28"/>
      <c r="U267" s="28"/>
      <c r="V267" s="17">
        <f>IF($B267="","",COUNTIF(G267:U267,"OK"))</f>
        <v/>
      </c>
      <c r="W267" s="17">
        <f>IF($B267="","",COUNTIF(G267:U267,"NOK"))</f>
        <v/>
      </c>
      <c r="X267" s="9">
        <f>IF($B267="","",IF(V267+W267=0,"",V267/(V267+W267)))</f>
        <v/>
      </c>
      <c r="Y267" s="17">
        <f>IF(X267="","",IF(X267&gt;=Setup!$C$7,"PASS","FAIL"))</f>
        <v/>
      </c>
      <c r="Z267" s="17">
        <f>IF($B267="","",IF(W267=0,"",IF(COUNTIF(Findings!$B$6:$B$305,$A267)&gt;=W267,"OK","LOG FINDING")))</f>
        <v/>
      </c>
    </row>
    <row r="268" spans="1:26">
      <c r="A268" s="17">
        <f>IF($B268="","","A-1263")</f>
        <v/>
      </c>
      <c r="B268" s="24"/>
      <c r="C268" s="23"/>
      <c r="D268" s="28"/>
      <c r="E268" s="23"/>
      <c r="F268" s="23"/>
      <c r="G268" s="28"/>
      <c r="H268" s="28"/>
      <c r="I268" s="28"/>
      <c r="J268" s="28"/>
      <c r="K268" s="28"/>
      <c r="L268" s="28"/>
      <c r="M268" s="28"/>
      <c r="N268" s="28"/>
      <c r="O268" s="28"/>
      <c r="P268" s="28"/>
      <c r="Q268" s="28"/>
      <c r="R268" s="28"/>
      <c r="S268" s="28"/>
      <c r="T268" s="28"/>
      <c r="U268" s="28"/>
      <c r="V268" s="17">
        <f>IF($B268="","",COUNTIF(G268:U268,"OK"))</f>
        <v/>
      </c>
      <c r="W268" s="17">
        <f>IF($B268="","",COUNTIF(G268:U268,"NOK"))</f>
        <v/>
      </c>
      <c r="X268" s="9">
        <f>IF($B268="","",IF(V268+W268=0,"",V268/(V268+W268)))</f>
        <v/>
      </c>
      <c r="Y268" s="17">
        <f>IF(X268="","",IF(X268&gt;=Setup!$C$7,"PASS","FAIL"))</f>
        <v/>
      </c>
      <c r="Z268" s="17">
        <f>IF($B268="","",IF(W268=0,"",IF(COUNTIF(Findings!$B$6:$B$305,$A268)&gt;=W268,"OK","LOG FINDING")))</f>
        <v/>
      </c>
    </row>
    <row r="269" spans="1:26">
      <c r="A269" s="17">
        <f>IF($B269="","","A-1264")</f>
        <v/>
      </c>
      <c r="B269" s="24"/>
      <c r="C269" s="23"/>
      <c r="D269" s="28"/>
      <c r="E269" s="23"/>
      <c r="F269" s="23"/>
      <c r="G269" s="28"/>
      <c r="H269" s="28"/>
      <c r="I269" s="28"/>
      <c r="J269" s="28"/>
      <c r="K269" s="28"/>
      <c r="L269" s="28"/>
      <c r="M269" s="28"/>
      <c r="N269" s="28"/>
      <c r="O269" s="28"/>
      <c r="P269" s="28"/>
      <c r="Q269" s="28"/>
      <c r="R269" s="28"/>
      <c r="S269" s="28"/>
      <c r="T269" s="28"/>
      <c r="U269" s="28"/>
      <c r="V269" s="17">
        <f>IF($B269="","",COUNTIF(G269:U269,"OK"))</f>
        <v/>
      </c>
      <c r="W269" s="17">
        <f>IF($B269="","",COUNTIF(G269:U269,"NOK"))</f>
        <v/>
      </c>
      <c r="X269" s="9">
        <f>IF($B269="","",IF(V269+W269=0,"",V269/(V269+W269)))</f>
        <v/>
      </c>
      <c r="Y269" s="17">
        <f>IF(X269="","",IF(X269&gt;=Setup!$C$7,"PASS","FAIL"))</f>
        <v/>
      </c>
      <c r="Z269" s="17">
        <f>IF($B269="","",IF(W269=0,"",IF(COUNTIF(Findings!$B$6:$B$305,$A269)&gt;=W269,"OK","LOG FINDING")))</f>
        <v/>
      </c>
    </row>
    <row r="270" spans="1:26">
      <c r="A270" s="17">
        <f>IF($B270="","","A-1265")</f>
        <v/>
      </c>
      <c r="B270" s="24"/>
      <c r="C270" s="23"/>
      <c r="D270" s="28"/>
      <c r="E270" s="23"/>
      <c r="F270" s="23"/>
      <c r="G270" s="28"/>
      <c r="H270" s="28"/>
      <c r="I270" s="28"/>
      <c r="J270" s="28"/>
      <c r="K270" s="28"/>
      <c r="L270" s="28"/>
      <c r="M270" s="28"/>
      <c r="N270" s="28"/>
      <c r="O270" s="28"/>
      <c r="P270" s="28"/>
      <c r="Q270" s="28"/>
      <c r="R270" s="28"/>
      <c r="S270" s="28"/>
      <c r="T270" s="28"/>
      <c r="U270" s="28"/>
      <c r="V270" s="17">
        <f>IF($B270="","",COUNTIF(G270:U270,"OK"))</f>
        <v/>
      </c>
      <c r="W270" s="17">
        <f>IF($B270="","",COUNTIF(G270:U270,"NOK"))</f>
        <v/>
      </c>
      <c r="X270" s="9">
        <f>IF($B270="","",IF(V270+W270=0,"",V270/(V270+W270)))</f>
        <v/>
      </c>
      <c r="Y270" s="17">
        <f>IF(X270="","",IF(X270&gt;=Setup!$C$7,"PASS","FAIL"))</f>
        <v/>
      </c>
      <c r="Z270" s="17">
        <f>IF($B270="","",IF(W270=0,"",IF(COUNTIF(Findings!$B$6:$B$305,$A270)&gt;=W270,"OK","LOG FINDING")))</f>
        <v/>
      </c>
    </row>
    <row r="271" spans="1:26">
      <c r="A271" s="17">
        <f>IF($B271="","","A-1266")</f>
        <v/>
      </c>
      <c r="B271" s="24"/>
      <c r="C271" s="23"/>
      <c r="D271" s="28"/>
      <c r="E271" s="23"/>
      <c r="F271" s="23"/>
      <c r="G271" s="28"/>
      <c r="H271" s="28"/>
      <c r="I271" s="28"/>
      <c r="J271" s="28"/>
      <c r="K271" s="28"/>
      <c r="L271" s="28"/>
      <c r="M271" s="28"/>
      <c r="N271" s="28"/>
      <c r="O271" s="28"/>
      <c r="P271" s="28"/>
      <c r="Q271" s="28"/>
      <c r="R271" s="28"/>
      <c r="S271" s="28"/>
      <c r="T271" s="28"/>
      <c r="U271" s="28"/>
      <c r="V271" s="17">
        <f>IF($B271="","",COUNTIF(G271:U271,"OK"))</f>
        <v/>
      </c>
      <c r="W271" s="17">
        <f>IF($B271="","",COUNTIF(G271:U271,"NOK"))</f>
        <v/>
      </c>
      <c r="X271" s="9">
        <f>IF($B271="","",IF(V271+W271=0,"",V271/(V271+W271)))</f>
        <v/>
      </c>
      <c r="Y271" s="17">
        <f>IF(X271="","",IF(X271&gt;=Setup!$C$7,"PASS","FAIL"))</f>
        <v/>
      </c>
      <c r="Z271" s="17">
        <f>IF($B271="","",IF(W271=0,"",IF(COUNTIF(Findings!$B$6:$B$305,$A271)&gt;=W271,"OK","LOG FINDING")))</f>
        <v/>
      </c>
    </row>
    <row r="272" spans="1:26">
      <c r="A272" s="17">
        <f>IF($B272="","","A-1267")</f>
        <v/>
      </c>
      <c r="B272" s="24"/>
      <c r="C272" s="23"/>
      <c r="D272" s="28"/>
      <c r="E272" s="23"/>
      <c r="F272" s="23"/>
      <c r="G272" s="28"/>
      <c r="H272" s="28"/>
      <c r="I272" s="28"/>
      <c r="J272" s="28"/>
      <c r="K272" s="28"/>
      <c r="L272" s="28"/>
      <c r="M272" s="28"/>
      <c r="N272" s="28"/>
      <c r="O272" s="28"/>
      <c r="P272" s="28"/>
      <c r="Q272" s="28"/>
      <c r="R272" s="28"/>
      <c r="S272" s="28"/>
      <c r="T272" s="28"/>
      <c r="U272" s="28"/>
      <c r="V272" s="17">
        <f>IF($B272="","",COUNTIF(G272:U272,"OK"))</f>
        <v/>
      </c>
      <c r="W272" s="17">
        <f>IF($B272="","",COUNTIF(G272:U272,"NOK"))</f>
        <v/>
      </c>
      <c r="X272" s="9">
        <f>IF($B272="","",IF(V272+W272=0,"",V272/(V272+W272)))</f>
        <v/>
      </c>
      <c r="Y272" s="17">
        <f>IF(X272="","",IF(X272&gt;=Setup!$C$7,"PASS","FAIL"))</f>
        <v/>
      </c>
      <c r="Z272" s="17">
        <f>IF($B272="","",IF(W272=0,"",IF(COUNTIF(Findings!$B$6:$B$305,$A272)&gt;=W272,"OK","LOG FINDING")))</f>
        <v/>
      </c>
    </row>
    <row r="273" spans="1:26">
      <c r="A273" s="17">
        <f>IF($B273="","","A-1268")</f>
        <v/>
      </c>
      <c r="B273" s="24"/>
      <c r="C273" s="23"/>
      <c r="D273" s="28"/>
      <c r="E273" s="23"/>
      <c r="F273" s="23"/>
      <c r="G273" s="28"/>
      <c r="H273" s="28"/>
      <c r="I273" s="28"/>
      <c r="J273" s="28"/>
      <c r="K273" s="28"/>
      <c r="L273" s="28"/>
      <c r="M273" s="28"/>
      <c r="N273" s="28"/>
      <c r="O273" s="28"/>
      <c r="P273" s="28"/>
      <c r="Q273" s="28"/>
      <c r="R273" s="28"/>
      <c r="S273" s="28"/>
      <c r="T273" s="28"/>
      <c r="U273" s="28"/>
      <c r="V273" s="17">
        <f>IF($B273="","",COUNTIF(G273:U273,"OK"))</f>
        <v/>
      </c>
      <c r="W273" s="17">
        <f>IF($B273="","",COUNTIF(G273:U273,"NOK"))</f>
        <v/>
      </c>
      <c r="X273" s="9">
        <f>IF($B273="","",IF(V273+W273=0,"",V273/(V273+W273)))</f>
        <v/>
      </c>
      <c r="Y273" s="17">
        <f>IF(X273="","",IF(X273&gt;=Setup!$C$7,"PASS","FAIL"))</f>
        <v/>
      </c>
      <c r="Z273" s="17">
        <f>IF($B273="","",IF(W273=0,"",IF(COUNTIF(Findings!$B$6:$B$305,$A273)&gt;=W273,"OK","LOG FINDING")))</f>
        <v/>
      </c>
    </row>
    <row r="274" spans="1:26">
      <c r="A274" s="17">
        <f>IF($B274="","","A-1269")</f>
        <v/>
      </c>
      <c r="B274" s="24"/>
      <c r="C274" s="23"/>
      <c r="D274" s="28"/>
      <c r="E274" s="23"/>
      <c r="F274" s="23"/>
      <c r="G274" s="28"/>
      <c r="H274" s="28"/>
      <c r="I274" s="28"/>
      <c r="J274" s="28"/>
      <c r="K274" s="28"/>
      <c r="L274" s="28"/>
      <c r="M274" s="28"/>
      <c r="N274" s="28"/>
      <c r="O274" s="28"/>
      <c r="P274" s="28"/>
      <c r="Q274" s="28"/>
      <c r="R274" s="28"/>
      <c r="S274" s="28"/>
      <c r="T274" s="28"/>
      <c r="U274" s="28"/>
      <c r="V274" s="17">
        <f>IF($B274="","",COUNTIF(G274:U274,"OK"))</f>
        <v/>
      </c>
      <c r="W274" s="17">
        <f>IF($B274="","",COUNTIF(G274:U274,"NOK"))</f>
        <v/>
      </c>
      <c r="X274" s="9">
        <f>IF($B274="","",IF(V274+W274=0,"",V274/(V274+W274)))</f>
        <v/>
      </c>
      <c r="Y274" s="17">
        <f>IF(X274="","",IF(X274&gt;=Setup!$C$7,"PASS","FAIL"))</f>
        <v/>
      </c>
      <c r="Z274" s="17">
        <f>IF($B274="","",IF(W274=0,"",IF(COUNTIF(Findings!$B$6:$B$305,$A274)&gt;=W274,"OK","LOG FINDING")))</f>
        <v/>
      </c>
    </row>
    <row r="275" spans="1:26">
      <c r="A275" s="17">
        <f>IF($B275="","","A-1270")</f>
        <v/>
      </c>
      <c r="B275" s="24"/>
      <c r="C275" s="23"/>
      <c r="D275" s="28"/>
      <c r="E275" s="23"/>
      <c r="F275" s="23"/>
      <c r="G275" s="28"/>
      <c r="H275" s="28"/>
      <c r="I275" s="28"/>
      <c r="J275" s="28"/>
      <c r="K275" s="28"/>
      <c r="L275" s="28"/>
      <c r="M275" s="28"/>
      <c r="N275" s="28"/>
      <c r="O275" s="28"/>
      <c r="P275" s="28"/>
      <c r="Q275" s="28"/>
      <c r="R275" s="28"/>
      <c r="S275" s="28"/>
      <c r="T275" s="28"/>
      <c r="U275" s="28"/>
      <c r="V275" s="17">
        <f>IF($B275="","",COUNTIF(G275:U275,"OK"))</f>
        <v/>
      </c>
      <c r="W275" s="17">
        <f>IF($B275="","",COUNTIF(G275:U275,"NOK"))</f>
        <v/>
      </c>
      <c r="X275" s="9">
        <f>IF($B275="","",IF(V275+W275=0,"",V275/(V275+W275)))</f>
        <v/>
      </c>
      <c r="Y275" s="17">
        <f>IF(X275="","",IF(X275&gt;=Setup!$C$7,"PASS","FAIL"))</f>
        <v/>
      </c>
      <c r="Z275" s="17">
        <f>IF($B275="","",IF(W275=0,"",IF(COUNTIF(Findings!$B$6:$B$305,$A275)&gt;=W275,"OK","LOG FINDING")))</f>
        <v/>
      </c>
    </row>
    <row r="276" spans="1:26">
      <c r="A276" s="17">
        <f>IF($B276="","","A-1271")</f>
        <v/>
      </c>
      <c r="B276" s="24"/>
      <c r="C276" s="23"/>
      <c r="D276" s="28"/>
      <c r="E276" s="23"/>
      <c r="F276" s="23"/>
      <c r="G276" s="28"/>
      <c r="H276" s="28"/>
      <c r="I276" s="28"/>
      <c r="J276" s="28"/>
      <c r="K276" s="28"/>
      <c r="L276" s="28"/>
      <c r="M276" s="28"/>
      <c r="N276" s="28"/>
      <c r="O276" s="28"/>
      <c r="P276" s="28"/>
      <c r="Q276" s="28"/>
      <c r="R276" s="28"/>
      <c r="S276" s="28"/>
      <c r="T276" s="28"/>
      <c r="U276" s="28"/>
      <c r="V276" s="17">
        <f>IF($B276="","",COUNTIF(G276:U276,"OK"))</f>
        <v/>
      </c>
      <c r="W276" s="17">
        <f>IF($B276="","",COUNTIF(G276:U276,"NOK"))</f>
        <v/>
      </c>
      <c r="X276" s="9">
        <f>IF($B276="","",IF(V276+W276=0,"",V276/(V276+W276)))</f>
        <v/>
      </c>
      <c r="Y276" s="17">
        <f>IF(X276="","",IF(X276&gt;=Setup!$C$7,"PASS","FAIL"))</f>
        <v/>
      </c>
      <c r="Z276" s="17">
        <f>IF($B276="","",IF(W276=0,"",IF(COUNTIF(Findings!$B$6:$B$305,$A276)&gt;=W276,"OK","LOG FINDING")))</f>
        <v/>
      </c>
    </row>
    <row r="277" spans="1:26">
      <c r="A277" s="17">
        <f>IF($B277="","","A-1272")</f>
        <v/>
      </c>
      <c r="B277" s="24"/>
      <c r="C277" s="23"/>
      <c r="D277" s="28"/>
      <c r="E277" s="23"/>
      <c r="F277" s="23"/>
      <c r="G277" s="28"/>
      <c r="H277" s="28"/>
      <c r="I277" s="28"/>
      <c r="J277" s="28"/>
      <c r="K277" s="28"/>
      <c r="L277" s="28"/>
      <c r="M277" s="28"/>
      <c r="N277" s="28"/>
      <c r="O277" s="28"/>
      <c r="P277" s="28"/>
      <c r="Q277" s="28"/>
      <c r="R277" s="28"/>
      <c r="S277" s="28"/>
      <c r="T277" s="28"/>
      <c r="U277" s="28"/>
      <c r="V277" s="17">
        <f>IF($B277="","",COUNTIF(G277:U277,"OK"))</f>
        <v/>
      </c>
      <c r="W277" s="17">
        <f>IF($B277="","",COUNTIF(G277:U277,"NOK"))</f>
        <v/>
      </c>
      <c r="X277" s="9">
        <f>IF($B277="","",IF(V277+W277=0,"",V277/(V277+W277)))</f>
        <v/>
      </c>
      <c r="Y277" s="17">
        <f>IF(X277="","",IF(X277&gt;=Setup!$C$7,"PASS","FAIL"))</f>
        <v/>
      </c>
      <c r="Z277" s="17">
        <f>IF($B277="","",IF(W277=0,"",IF(COUNTIF(Findings!$B$6:$B$305,$A277)&gt;=W277,"OK","LOG FINDING")))</f>
        <v/>
      </c>
    </row>
    <row r="278" spans="1:26">
      <c r="A278" s="17">
        <f>IF($B278="","","A-1273")</f>
        <v/>
      </c>
      <c r="B278" s="24"/>
      <c r="C278" s="23"/>
      <c r="D278" s="28"/>
      <c r="E278" s="23"/>
      <c r="F278" s="23"/>
      <c r="G278" s="28"/>
      <c r="H278" s="28"/>
      <c r="I278" s="28"/>
      <c r="J278" s="28"/>
      <c r="K278" s="28"/>
      <c r="L278" s="28"/>
      <c r="M278" s="28"/>
      <c r="N278" s="28"/>
      <c r="O278" s="28"/>
      <c r="P278" s="28"/>
      <c r="Q278" s="28"/>
      <c r="R278" s="28"/>
      <c r="S278" s="28"/>
      <c r="T278" s="28"/>
      <c r="U278" s="28"/>
      <c r="V278" s="17">
        <f>IF($B278="","",COUNTIF(G278:U278,"OK"))</f>
        <v/>
      </c>
      <c r="W278" s="17">
        <f>IF($B278="","",COUNTIF(G278:U278,"NOK"))</f>
        <v/>
      </c>
      <c r="X278" s="9">
        <f>IF($B278="","",IF(V278+W278=0,"",V278/(V278+W278)))</f>
        <v/>
      </c>
      <c r="Y278" s="17">
        <f>IF(X278="","",IF(X278&gt;=Setup!$C$7,"PASS","FAIL"))</f>
        <v/>
      </c>
      <c r="Z278" s="17">
        <f>IF($B278="","",IF(W278=0,"",IF(COUNTIF(Findings!$B$6:$B$305,$A278)&gt;=W278,"OK","LOG FINDING")))</f>
        <v/>
      </c>
    </row>
    <row r="279" spans="1:26">
      <c r="A279" s="17">
        <f>IF($B279="","","A-1274")</f>
        <v/>
      </c>
      <c r="B279" s="24"/>
      <c r="C279" s="23"/>
      <c r="D279" s="28"/>
      <c r="E279" s="23"/>
      <c r="F279" s="23"/>
      <c r="G279" s="28"/>
      <c r="H279" s="28"/>
      <c r="I279" s="28"/>
      <c r="J279" s="28"/>
      <c r="K279" s="28"/>
      <c r="L279" s="28"/>
      <c r="M279" s="28"/>
      <c r="N279" s="28"/>
      <c r="O279" s="28"/>
      <c r="P279" s="28"/>
      <c r="Q279" s="28"/>
      <c r="R279" s="28"/>
      <c r="S279" s="28"/>
      <c r="T279" s="28"/>
      <c r="U279" s="28"/>
      <c r="V279" s="17">
        <f>IF($B279="","",COUNTIF(G279:U279,"OK"))</f>
        <v/>
      </c>
      <c r="W279" s="17">
        <f>IF($B279="","",COUNTIF(G279:U279,"NOK"))</f>
        <v/>
      </c>
      <c r="X279" s="9">
        <f>IF($B279="","",IF(V279+W279=0,"",V279/(V279+W279)))</f>
        <v/>
      </c>
      <c r="Y279" s="17">
        <f>IF(X279="","",IF(X279&gt;=Setup!$C$7,"PASS","FAIL"))</f>
        <v/>
      </c>
      <c r="Z279" s="17">
        <f>IF($B279="","",IF(W279=0,"",IF(COUNTIF(Findings!$B$6:$B$305,$A279)&gt;=W279,"OK","LOG FINDING")))</f>
        <v/>
      </c>
    </row>
    <row r="280" spans="1:26">
      <c r="A280" s="17">
        <f>IF($B280="","","A-1275")</f>
        <v/>
      </c>
      <c r="B280" s="24"/>
      <c r="C280" s="23"/>
      <c r="D280" s="28"/>
      <c r="E280" s="23"/>
      <c r="F280" s="23"/>
      <c r="G280" s="28"/>
      <c r="H280" s="28"/>
      <c r="I280" s="28"/>
      <c r="J280" s="28"/>
      <c r="K280" s="28"/>
      <c r="L280" s="28"/>
      <c r="M280" s="28"/>
      <c r="N280" s="28"/>
      <c r="O280" s="28"/>
      <c r="P280" s="28"/>
      <c r="Q280" s="28"/>
      <c r="R280" s="28"/>
      <c r="S280" s="28"/>
      <c r="T280" s="28"/>
      <c r="U280" s="28"/>
      <c r="V280" s="17">
        <f>IF($B280="","",COUNTIF(G280:U280,"OK"))</f>
        <v/>
      </c>
      <c r="W280" s="17">
        <f>IF($B280="","",COUNTIF(G280:U280,"NOK"))</f>
        <v/>
      </c>
      <c r="X280" s="9">
        <f>IF($B280="","",IF(V280+W280=0,"",V280/(V280+W280)))</f>
        <v/>
      </c>
      <c r="Y280" s="17">
        <f>IF(X280="","",IF(X280&gt;=Setup!$C$7,"PASS","FAIL"))</f>
        <v/>
      </c>
      <c r="Z280" s="17">
        <f>IF($B280="","",IF(W280=0,"",IF(COUNTIF(Findings!$B$6:$B$305,$A280)&gt;=W280,"OK","LOG FINDING")))</f>
        <v/>
      </c>
    </row>
    <row r="281" spans="1:26">
      <c r="A281" s="17">
        <f>IF($B281="","","A-1276")</f>
        <v/>
      </c>
      <c r="B281" s="24"/>
      <c r="C281" s="23"/>
      <c r="D281" s="28"/>
      <c r="E281" s="23"/>
      <c r="F281" s="23"/>
      <c r="G281" s="28"/>
      <c r="H281" s="28"/>
      <c r="I281" s="28"/>
      <c r="J281" s="28"/>
      <c r="K281" s="28"/>
      <c r="L281" s="28"/>
      <c r="M281" s="28"/>
      <c r="N281" s="28"/>
      <c r="O281" s="28"/>
      <c r="P281" s="28"/>
      <c r="Q281" s="28"/>
      <c r="R281" s="28"/>
      <c r="S281" s="28"/>
      <c r="T281" s="28"/>
      <c r="U281" s="28"/>
      <c r="V281" s="17">
        <f>IF($B281="","",COUNTIF(G281:U281,"OK"))</f>
        <v/>
      </c>
      <c r="W281" s="17">
        <f>IF($B281="","",COUNTIF(G281:U281,"NOK"))</f>
        <v/>
      </c>
      <c r="X281" s="9">
        <f>IF($B281="","",IF(V281+W281=0,"",V281/(V281+W281)))</f>
        <v/>
      </c>
      <c r="Y281" s="17">
        <f>IF(X281="","",IF(X281&gt;=Setup!$C$7,"PASS","FAIL"))</f>
        <v/>
      </c>
      <c r="Z281" s="17">
        <f>IF($B281="","",IF(W281=0,"",IF(COUNTIF(Findings!$B$6:$B$305,$A281)&gt;=W281,"OK","LOG FINDING")))</f>
        <v/>
      </c>
    </row>
    <row r="282" spans="1:26">
      <c r="A282" s="17">
        <f>IF($B282="","","A-1277")</f>
        <v/>
      </c>
      <c r="B282" s="24"/>
      <c r="C282" s="23"/>
      <c r="D282" s="28"/>
      <c r="E282" s="23"/>
      <c r="F282" s="23"/>
      <c r="G282" s="28"/>
      <c r="H282" s="28"/>
      <c r="I282" s="28"/>
      <c r="J282" s="28"/>
      <c r="K282" s="28"/>
      <c r="L282" s="28"/>
      <c r="M282" s="28"/>
      <c r="N282" s="28"/>
      <c r="O282" s="28"/>
      <c r="P282" s="28"/>
      <c r="Q282" s="28"/>
      <c r="R282" s="28"/>
      <c r="S282" s="28"/>
      <c r="T282" s="28"/>
      <c r="U282" s="28"/>
      <c r="V282" s="17">
        <f>IF($B282="","",COUNTIF(G282:U282,"OK"))</f>
        <v/>
      </c>
      <c r="W282" s="17">
        <f>IF($B282="","",COUNTIF(G282:U282,"NOK"))</f>
        <v/>
      </c>
      <c r="X282" s="9">
        <f>IF($B282="","",IF(V282+W282=0,"",V282/(V282+W282)))</f>
        <v/>
      </c>
      <c r="Y282" s="17">
        <f>IF(X282="","",IF(X282&gt;=Setup!$C$7,"PASS","FAIL"))</f>
        <v/>
      </c>
      <c r="Z282" s="17">
        <f>IF($B282="","",IF(W282=0,"",IF(COUNTIF(Findings!$B$6:$B$305,$A282)&gt;=W282,"OK","LOG FINDING")))</f>
        <v/>
      </c>
    </row>
    <row r="283" spans="1:26">
      <c r="A283" s="17">
        <f>IF($B283="","","A-1278")</f>
        <v/>
      </c>
      <c r="B283" s="24"/>
      <c r="C283" s="23"/>
      <c r="D283" s="28"/>
      <c r="E283" s="23"/>
      <c r="F283" s="23"/>
      <c r="G283" s="28"/>
      <c r="H283" s="28"/>
      <c r="I283" s="28"/>
      <c r="J283" s="28"/>
      <c r="K283" s="28"/>
      <c r="L283" s="28"/>
      <c r="M283" s="28"/>
      <c r="N283" s="28"/>
      <c r="O283" s="28"/>
      <c r="P283" s="28"/>
      <c r="Q283" s="28"/>
      <c r="R283" s="28"/>
      <c r="S283" s="28"/>
      <c r="T283" s="28"/>
      <c r="U283" s="28"/>
      <c r="V283" s="17">
        <f>IF($B283="","",COUNTIF(G283:U283,"OK"))</f>
        <v/>
      </c>
      <c r="W283" s="17">
        <f>IF($B283="","",COUNTIF(G283:U283,"NOK"))</f>
        <v/>
      </c>
      <c r="X283" s="9">
        <f>IF($B283="","",IF(V283+W283=0,"",V283/(V283+W283)))</f>
        <v/>
      </c>
      <c r="Y283" s="17">
        <f>IF(X283="","",IF(X283&gt;=Setup!$C$7,"PASS","FAIL"))</f>
        <v/>
      </c>
      <c r="Z283" s="17">
        <f>IF($B283="","",IF(W283=0,"",IF(COUNTIF(Findings!$B$6:$B$305,$A283)&gt;=W283,"OK","LOG FINDING")))</f>
        <v/>
      </c>
    </row>
    <row r="284" spans="1:26">
      <c r="A284" s="17">
        <f>IF($B284="","","A-1279")</f>
        <v/>
      </c>
      <c r="B284" s="24"/>
      <c r="C284" s="23"/>
      <c r="D284" s="28"/>
      <c r="E284" s="23"/>
      <c r="F284" s="23"/>
      <c r="G284" s="28"/>
      <c r="H284" s="28"/>
      <c r="I284" s="28"/>
      <c r="J284" s="28"/>
      <c r="K284" s="28"/>
      <c r="L284" s="28"/>
      <c r="M284" s="28"/>
      <c r="N284" s="28"/>
      <c r="O284" s="28"/>
      <c r="P284" s="28"/>
      <c r="Q284" s="28"/>
      <c r="R284" s="28"/>
      <c r="S284" s="28"/>
      <c r="T284" s="28"/>
      <c r="U284" s="28"/>
      <c r="V284" s="17">
        <f>IF($B284="","",COUNTIF(G284:U284,"OK"))</f>
        <v/>
      </c>
      <c r="W284" s="17">
        <f>IF($B284="","",COUNTIF(G284:U284,"NOK"))</f>
        <v/>
      </c>
      <c r="X284" s="9">
        <f>IF($B284="","",IF(V284+W284=0,"",V284/(V284+W284)))</f>
        <v/>
      </c>
      <c r="Y284" s="17">
        <f>IF(X284="","",IF(X284&gt;=Setup!$C$7,"PASS","FAIL"))</f>
        <v/>
      </c>
      <c r="Z284" s="17">
        <f>IF($B284="","",IF(W284=0,"",IF(COUNTIF(Findings!$B$6:$B$305,$A284)&gt;=W284,"OK","LOG FINDING")))</f>
        <v/>
      </c>
    </row>
    <row r="285" spans="1:26">
      <c r="A285" s="17">
        <f>IF($B285="","","A-1280")</f>
        <v/>
      </c>
      <c r="B285" s="24"/>
      <c r="C285" s="23"/>
      <c r="D285" s="28"/>
      <c r="E285" s="23"/>
      <c r="F285" s="23"/>
      <c r="G285" s="28"/>
      <c r="H285" s="28"/>
      <c r="I285" s="28"/>
      <c r="J285" s="28"/>
      <c r="K285" s="28"/>
      <c r="L285" s="28"/>
      <c r="M285" s="28"/>
      <c r="N285" s="28"/>
      <c r="O285" s="28"/>
      <c r="P285" s="28"/>
      <c r="Q285" s="28"/>
      <c r="R285" s="28"/>
      <c r="S285" s="28"/>
      <c r="T285" s="28"/>
      <c r="U285" s="28"/>
      <c r="V285" s="17">
        <f>IF($B285="","",COUNTIF(G285:U285,"OK"))</f>
        <v/>
      </c>
      <c r="W285" s="17">
        <f>IF($B285="","",COUNTIF(G285:U285,"NOK"))</f>
        <v/>
      </c>
      <c r="X285" s="9">
        <f>IF($B285="","",IF(V285+W285=0,"",V285/(V285+W285)))</f>
        <v/>
      </c>
      <c r="Y285" s="17">
        <f>IF(X285="","",IF(X285&gt;=Setup!$C$7,"PASS","FAIL"))</f>
        <v/>
      </c>
      <c r="Z285" s="17">
        <f>IF($B285="","",IF(W285=0,"",IF(COUNTIF(Findings!$B$6:$B$305,$A285)&gt;=W285,"OK","LOG FINDING")))</f>
        <v/>
      </c>
    </row>
    <row r="286" spans="1:26">
      <c r="A286" s="17">
        <f>IF($B286="","","A-1281")</f>
        <v/>
      </c>
      <c r="B286" s="24"/>
      <c r="C286" s="23"/>
      <c r="D286" s="28"/>
      <c r="E286" s="23"/>
      <c r="F286" s="23"/>
      <c r="G286" s="28"/>
      <c r="H286" s="28"/>
      <c r="I286" s="28"/>
      <c r="J286" s="28"/>
      <c r="K286" s="28"/>
      <c r="L286" s="28"/>
      <c r="M286" s="28"/>
      <c r="N286" s="28"/>
      <c r="O286" s="28"/>
      <c r="P286" s="28"/>
      <c r="Q286" s="28"/>
      <c r="R286" s="28"/>
      <c r="S286" s="28"/>
      <c r="T286" s="28"/>
      <c r="U286" s="28"/>
      <c r="V286" s="17">
        <f>IF($B286="","",COUNTIF(G286:U286,"OK"))</f>
        <v/>
      </c>
      <c r="W286" s="17">
        <f>IF($B286="","",COUNTIF(G286:U286,"NOK"))</f>
        <v/>
      </c>
      <c r="X286" s="9">
        <f>IF($B286="","",IF(V286+W286=0,"",V286/(V286+W286)))</f>
        <v/>
      </c>
      <c r="Y286" s="17">
        <f>IF(X286="","",IF(X286&gt;=Setup!$C$7,"PASS","FAIL"))</f>
        <v/>
      </c>
      <c r="Z286" s="17">
        <f>IF($B286="","",IF(W286=0,"",IF(COUNTIF(Findings!$B$6:$B$305,$A286)&gt;=W286,"OK","LOG FINDING")))</f>
        <v/>
      </c>
    </row>
    <row r="287" spans="1:26">
      <c r="A287" s="17">
        <f>IF($B287="","","A-1282")</f>
        <v/>
      </c>
      <c r="B287" s="24"/>
      <c r="C287" s="23"/>
      <c r="D287" s="28"/>
      <c r="E287" s="23"/>
      <c r="F287" s="23"/>
      <c r="G287" s="28"/>
      <c r="H287" s="28"/>
      <c r="I287" s="28"/>
      <c r="J287" s="28"/>
      <c r="K287" s="28"/>
      <c r="L287" s="28"/>
      <c r="M287" s="28"/>
      <c r="N287" s="28"/>
      <c r="O287" s="28"/>
      <c r="P287" s="28"/>
      <c r="Q287" s="28"/>
      <c r="R287" s="28"/>
      <c r="S287" s="28"/>
      <c r="T287" s="28"/>
      <c r="U287" s="28"/>
      <c r="V287" s="17">
        <f>IF($B287="","",COUNTIF(G287:U287,"OK"))</f>
        <v/>
      </c>
      <c r="W287" s="17">
        <f>IF($B287="","",COUNTIF(G287:U287,"NOK"))</f>
        <v/>
      </c>
      <c r="X287" s="9">
        <f>IF($B287="","",IF(V287+W287=0,"",V287/(V287+W287)))</f>
        <v/>
      </c>
      <c r="Y287" s="17">
        <f>IF(X287="","",IF(X287&gt;=Setup!$C$7,"PASS","FAIL"))</f>
        <v/>
      </c>
      <c r="Z287" s="17">
        <f>IF($B287="","",IF(W287=0,"",IF(COUNTIF(Findings!$B$6:$B$305,$A287)&gt;=W287,"OK","LOG FINDING")))</f>
        <v/>
      </c>
    </row>
    <row r="288" spans="1:26">
      <c r="A288" s="17">
        <f>IF($B288="","","A-1283")</f>
        <v/>
      </c>
      <c r="B288" s="24"/>
      <c r="C288" s="23"/>
      <c r="D288" s="28"/>
      <c r="E288" s="23"/>
      <c r="F288" s="23"/>
      <c r="G288" s="28"/>
      <c r="H288" s="28"/>
      <c r="I288" s="28"/>
      <c r="J288" s="28"/>
      <c r="K288" s="28"/>
      <c r="L288" s="28"/>
      <c r="M288" s="28"/>
      <c r="N288" s="28"/>
      <c r="O288" s="28"/>
      <c r="P288" s="28"/>
      <c r="Q288" s="28"/>
      <c r="R288" s="28"/>
      <c r="S288" s="28"/>
      <c r="T288" s="28"/>
      <c r="U288" s="28"/>
      <c r="V288" s="17">
        <f>IF($B288="","",COUNTIF(G288:U288,"OK"))</f>
        <v/>
      </c>
      <c r="W288" s="17">
        <f>IF($B288="","",COUNTIF(G288:U288,"NOK"))</f>
        <v/>
      </c>
      <c r="X288" s="9">
        <f>IF($B288="","",IF(V288+W288=0,"",V288/(V288+W288)))</f>
        <v/>
      </c>
      <c r="Y288" s="17">
        <f>IF(X288="","",IF(X288&gt;=Setup!$C$7,"PASS","FAIL"))</f>
        <v/>
      </c>
      <c r="Z288" s="17">
        <f>IF($B288="","",IF(W288=0,"",IF(COUNTIF(Findings!$B$6:$B$305,$A288)&gt;=W288,"OK","LOG FINDING")))</f>
        <v/>
      </c>
    </row>
    <row r="289" spans="1:26">
      <c r="A289" s="17">
        <f>IF($B289="","","A-1284")</f>
        <v/>
      </c>
      <c r="B289" s="24"/>
      <c r="C289" s="23"/>
      <c r="D289" s="28"/>
      <c r="E289" s="23"/>
      <c r="F289" s="23"/>
      <c r="G289" s="28"/>
      <c r="H289" s="28"/>
      <c r="I289" s="28"/>
      <c r="J289" s="28"/>
      <c r="K289" s="28"/>
      <c r="L289" s="28"/>
      <c r="M289" s="28"/>
      <c r="N289" s="28"/>
      <c r="O289" s="28"/>
      <c r="P289" s="28"/>
      <c r="Q289" s="28"/>
      <c r="R289" s="28"/>
      <c r="S289" s="28"/>
      <c r="T289" s="28"/>
      <c r="U289" s="28"/>
      <c r="V289" s="17">
        <f>IF($B289="","",COUNTIF(G289:U289,"OK"))</f>
        <v/>
      </c>
      <c r="W289" s="17">
        <f>IF($B289="","",COUNTIF(G289:U289,"NOK"))</f>
        <v/>
      </c>
      <c r="X289" s="9">
        <f>IF($B289="","",IF(V289+W289=0,"",V289/(V289+W289)))</f>
        <v/>
      </c>
      <c r="Y289" s="17">
        <f>IF(X289="","",IF(X289&gt;=Setup!$C$7,"PASS","FAIL"))</f>
        <v/>
      </c>
      <c r="Z289" s="17">
        <f>IF($B289="","",IF(W289=0,"",IF(COUNTIF(Findings!$B$6:$B$305,$A289)&gt;=W289,"OK","LOG FINDING")))</f>
        <v/>
      </c>
    </row>
    <row r="290" spans="1:26">
      <c r="A290" s="17">
        <f>IF($B290="","","A-1285")</f>
        <v/>
      </c>
      <c r="B290" s="24"/>
      <c r="C290" s="23"/>
      <c r="D290" s="28"/>
      <c r="E290" s="23"/>
      <c r="F290" s="23"/>
      <c r="G290" s="28"/>
      <c r="H290" s="28"/>
      <c r="I290" s="28"/>
      <c r="J290" s="28"/>
      <c r="K290" s="28"/>
      <c r="L290" s="28"/>
      <c r="M290" s="28"/>
      <c r="N290" s="28"/>
      <c r="O290" s="28"/>
      <c r="P290" s="28"/>
      <c r="Q290" s="28"/>
      <c r="R290" s="28"/>
      <c r="S290" s="28"/>
      <c r="T290" s="28"/>
      <c r="U290" s="28"/>
      <c r="V290" s="17">
        <f>IF($B290="","",COUNTIF(G290:U290,"OK"))</f>
        <v/>
      </c>
      <c r="W290" s="17">
        <f>IF($B290="","",COUNTIF(G290:U290,"NOK"))</f>
        <v/>
      </c>
      <c r="X290" s="9">
        <f>IF($B290="","",IF(V290+W290=0,"",V290/(V290+W290)))</f>
        <v/>
      </c>
      <c r="Y290" s="17">
        <f>IF(X290="","",IF(X290&gt;=Setup!$C$7,"PASS","FAIL"))</f>
        <v/>
      </c>
      <c r="Z290" s="17">
        <f>IF($B290="","",IF(W290=0,"",IF(COUNTIF(Findings!$B$6:$B$305,$A290)&gt;=W290,"OK","LOG FINDING")))</f>
        <v/>
      </c>
    </row>
    <row r="291" spans="1:26">
      <c r="A291" s="17">
        <f>IF($B291="","","A-1286")</f>
        <v/>
      </c>
      <c r="B291" s="24"/>
      <c r="C291" s="23"/>
      <c r="D291" s="28"/>
      <c r="E291" s="23"/>
      <c r="F291" s="23"/>
      <c r="G291" s="28"/>
      <c r="H291" s="28"/>
      <c r="I291" s="28"/>
      <c r="J291" s="28"/>
      <c r="K291" s="28"/>
      <c r="L291" s="28"/>
      <c r="M291" s="28"/>
      <c r="N291" s="28"/>
      <c r="O291" s="28"/>
      <c r="P291" s="28"/>
      <c r="Q291" s="28"/>
      <c r="R291" s="28"/>
      <c r="S291" s="28"/>
      <c r="T291" s="28"/>
      <c r="U291" s="28"/>
      <c r="V291" s="17">
        <f>IF($B291="","",COUNTIF(G291:U291,"OK"))</f>
        <v/>
      </c>
      <c r="W291" s="17">
        <f>IF($B291="","",COUNTIF(G291:U291,"NOK"))</f>
        <v/>
      </c>
      <c r="X291" s="9">
        <f>IF($B291="","",IF(V291+W291=0,"",V291/(V291+W291)))</f>
        <v/>
      </c>
      <c r="Y291" s="17">
        <f>IF(X291="","",IF(X291&gt;=Setup!$C$7,"PASS","FAIL"))</f>
        <v/>
      </c>
      <c r="Z291" s="17">
        <f>IF($B291="","",IF(W291=0,"",IF(COUNTIF(Findings!$B$6:$B$305,$A291)&gt;=W291,"OK","LOG FINDING")))</f>
        <v/>
      </c>
    </row>
    <row r="292" spans="1:26">
      <c r="A292" s="17">
        <f>IF($B292="","","A-1287")</f>
        <v/>
      </c>
      <c r="B292" s="24"/>
      <c r="C292" s="23"/>
      <c r="D292" s="28"/>
      <c r="E292" s="23"/>
      <c r="F292" s="23"/>
      <c r="G292" s="28"/>
      <c r="H292" s="28"/>
      <c r="I292" s="28"/>
      <c r="J292" s="28"/>
      <c r="K292" s="28"/>
      <c r="L292" s="28"/>
      <c r="M292" s="28"/>
      <c r="N292" s="28"/>
      <c r="O292" s="28"/>
      <c r="P292" s="28"/>
      <c r="Q292" s="28"/>
      <c r="R292" s="28"/>
      <c r="S292" s="28"/>
      <c r="T292" s="28"/>
      <c r="U292" s="28"/>
      <c r="V292" s="17">
        <f>IF($B292="","",COUNTIF(G292:U292,"OK"))</f>
        <v/>
      </c>
      <c r="W292" s="17">
        <f>IF($B292="","",COUNTIF(G292:U292,"NOK"))</f>
        <v/>
      </c>
      <c r="X292" s="9">
        <f>IF($B292="","",IF(V292+W292=0,"",V292/(V292+W292)))</f>
        <v/>
      </c>
      <c r="Y292" s="17">
        <f>IF(X292="","",IF(X292&gt;=Setup!$C$7,"PASS","FAIL"))</f>
        <v/>
      </c>
      <c r="Z292" s="17">
        <f>IF($B292="","",IF(W292=0,"",IF(COUNTIF(Findings!$B$6:$B$305,$A292)&gt;=W292,"OK","LOG FINDING")))</f>
        <v/>
      </c>
    </row>
    <row r="293" spans="1:26">
      <c r="A293" s="17">
        <f>IF($B293="","","A-1288")</f>
        <v/>
      </c>
      <c r="B293" s="24"/>
      <c r="C293" s="23"/>
      <c r="D293" s="28"/>
      <c r="E293" s="23"/>
      <c r="F293" s="23"/>
      <c r="G293" s="28"/>
      <c r="H293" s="28"/>
      <c r="I293" s="28"/>
      <c r="J293" s="28"/>
      <c r="K293" s="28"/>
      <c r="L293" s="28"/>
      <c r="M293" s="28"/>
      <c r="N293" s="28"/>
      <c r="O293" s="28"/>
      <c r="P293" s="28"/>
      <c r="Q293" s="28"/>
      <c r="R293" s="28"/>
      <c r="S293" s="28"/>
      <c r="T293" s="28"/>
      <c r="U293" s="28"/>
      <c r="V293" s="17">
        <f>IF($B293="","",COUNTIF(G293:U293,"OK"))</f>
        <v/>
      </c>
      <c r="W293" s="17">
        <f>IF($B293="","",COUNTIF(G293:U293,"NOK"))</f>
        <v/>
      </c>
      <c r="X293" s="9">
        <f>IF($B293="","",IF(V293+W293=0,"",V293/(V293+W293)))</f>
        <v/>
      </c>
      <c r="Y293" s="17">
        <f>IF(X293="","",IF(X293&gt;=Setup!$C$7,"PASS","FAIL"))</f>
        <v/>
      </c>
      <c r="Z293" s="17">
        <f>IF($B293="","",IF(W293=0,"",IF(COUNTIF(Findings!$B$6:$B$305,$A293)&gt;=W293,"OK","LOG FINDING")))</f>
        <v/>
      </c>
    </row>
    <row r="294" spans="1:26">
      <c r="A294" s="17">
        <f>IF($B294="","","A-1289")</f>
        <v/>
      </c>
      <c r="B294" s="24"/>
      <c r="C294" s="23"/>
      <c r="D294" s="28"/>
      <c r="E294" s="23"/>
      <c r="F294" s="23"/>
      <c r="G294" s="28"/>
      <c r="H294" s="28"/>
      <c r="I294" s="28"/>
      <c r="J294" s="28"/>
      <c r="K294" s="28"/>
      <c r="L294" s="28"/>
      <c r="M294" s="28"/>
      <c r="N294" s="28"/>
      <c r="O294" s="28"/>
      <c r="P294" s="28"/>
      <c r="Q294" s="28"/>
      <c r="R294" s="28"/>
      <c r="S294" s="28"/>
      <c r="T294" s="28"/>
      <c r="U294" s="28"/>
      <c r="V294" s="17">
        <f>IF($B294="","",COUNTIF(G294:U294,"OK"))</f>
        <v/>
      </c>
      <c r="W294" s="17">
        <f>IF($B294="","",COUNTIF(G294:U294,"NOK"))</f>
        <v/>
      </c>
      <c r="X294" s="9">
        <f>IF($B294="","",IF(V294+W294=0,"",V294/(V294+W294)))</f>
        <v/>
      </c>
      <c r="Y294" s="17">
        <f>IF(X294="","",IF(X294&gt;=Setup!$C$7,"PASS","FAIL"))</f>
        <v/>
      </c>
      <c r="Z294" s="17">
        <f>IF($B294="","",IF(W294=0,"",IF(COUNTIF(Findings!$B$6:$B$305,$A294)&gt;=W294,"OK","LOG FINDING")))</f>
        <v/>
      </c>
    </row>
    <row r="295" spans="1:26">
      <c r="A295" s="17">
        <f>IF($B295="","","A-1290")</f>
        <v/>
      </c>
      <c r="B295" s="24"/>
      <c r="C295" s="23"/>
      <c r="D295" s="28"/>
      <c r="E295" s="23"/>
      <c r="F295" s="23"/>
      <c r="G295" s="28"/>
      <c r="H295" s="28"/>
      <c r="I295" s="28"/>
      <c r="J295" s="28"/>
      <c r="K295" s="28"/>
      <c r="L295" s="28"/>
      <c r="M295" s="28"/>
      <c r="N295" s="28"/>
      <c r="O295" s="28"/>
      <c r="P295" s="28"/>
      <c r="Q295" s="28"/>
      <c r="R295" s="28"/>
      <c r="S295" s="28"/>
      <c r="T295" s="28"/>
      <c r="U295" s="28"/>
      <c r="V295" s="17">
        <f>IF($B295="","",COUNTIF(G295:U295,"OK"))</f>
        <v/>
      </c>
      <c r="W295" s="17">
        <f>IF($B295="","",COUNTIF(G295:U295,"NOK"))</f>
        <v/>
      </c>
      <c r="X295" s="9">
        <f>IF($B295="","",IF(V295+W295=0,"",V295/(V295+W295)))</f>
        <v/>
      </c>
      <c r="Y295" s="17">
        <f>IF(X295="","",IF(X295&gt;=Setup!$C$7,"PASS","FAIL"))</f>
        <v/>
      </c>
      <c r="Z295" s="17">
        <f>IF($B295="","",IF(W295=0,"",IF(COUNTIF(Findings!$B$6:$B$305,$A295)&gt;=W295,"OK","LOG FINDING")))</f>
        <v/>
      </c>
    </row>
    <row r="296" spans="1:26">
      <c r="A296" s="17">
        <f>IF($B296="","","A-1291")</f>
        <v/>
      </c>
      <c r="B296" s="24"/>
      <c r="C296" s="23"/>
      <c r="D296" s="28"/>
      <c r="E296" s="23"/>
      <c r="F296" s="23"/>
      <c r="G296" s="28"/>
      <c r="H296" s="28"/>
      <c r="I296" s="28"/>
      <c r="J296" s="28"/>
      <c r="K296" s="28"/>
      <c r="L296" s="28"/>
      <c r="M296" s="28"/>
      <c r="N296" s="28"/>
      <c r="O296" s="28"/>
      <c r="P296" s="28"/>
      <c r="Q296" s="28"/>
      <c r="R296" s="28"/>
      <c r="S296" s="28"/>
      <c r="T296" s="28"/>
      <c r="U296" s="28"/>
      <c r="V296" s="17">
        <f>IF($B296="","",COUNTIF(G296:U296,"OK"))</f>
        <v/>
      </c>
      <c r="W296" s="17">
        <f>IF($B296="","",COUNTIF(G296:U296,"NOK"))</f>
        <v/>
      </c>
      <c r="X296" s="9">
        <f>IF($B296="","",IF(V296+W296=0,"",V296/(V296+W296)))</f>
        <v/>
      </c>
      <c r="Y296" s="17">
        <f>IF(X296="","",IF(X296&gt;=Setup!$C$7,"PASS","FAIL"))</f>
        <v/>
      </c>
      <c r="Z296" s="17">
        <f>IF($B296="","",IF(W296=0,"",IF(COUNTIF(Findings!$B$6:$B$305,$A296)&gt;=W296,"OK","LOG FINDING")))</f>
        <v/>
      </c>
    </row>
    <row r="297" spans="1:26">
      <c r="A297" s="17">
        <f>IF($B297="","","A-1292")</f>
        <v/>
      </c>
      <c r="B297" s="24"/>
      <c r="C297" s="23"/>
      <c r="D297" s="28"/>
      <c r="E297" s="23"/>
      <c r="F297" s="23"/>
      <c r="G297" s="28"/>
      <c r="H297" s="28"/>
      <c r="I297" s="28"/>
      <c r="J297" s="28"/>
      <c r="K297" s="28"/>
      <c r="L297" s="28"/>
      <c r="M297" s="28"/>
      <c r="N297" s="28"/>
      <c r="O297" s="28"/>
      <c r="P297" s="28"/>
      <c r="Q297" s="28"/>
      <c r="R297" s="28"/>
      <c r="S297" s="28"/>
      <c r="T297" s="28"/>
      <c r="U297" s="28"/>
      <c r="V297" s="17">
        <f>IF($B297="","",COUNTIF(G297:U297,"OK"))</f>
        <v/>
      </c>
      <c r="W297" s="17">
        <f>IF($B297="","",COUNTIF(G297:U297,"NOK"))</f>
        <v/>
      </c>
      <c r="X297" s="9">
        <f>IF($B297="","",IF(V297+W297=0,"",V297/(V297+W297)))</f>
        <v/>
      </c>
      <c r="Y297" s="17">
        <f>IF(X297="","",IF(X297&gt;=Setup!$C$7,"PASS","FAIL"))</f>
        <v/>
      </c>
      <c r="Z297" s="17">
        <f>IF($B297="","",IF(W297=0,"",IF(COUNTIF(Findings!$B$6:$B$305,$A297)&gt;=W297,"OK","LOG FINDING")))</f>
        <v/>
      </c>
    </row>
    <row r="298" spans="1:26">
      <c r="A298" s="17">
        <f>IF($B298="","","A-1293")</f>
        <v/>
      </c>
      <c r="B298" s="24"/>
      <c r="C298" s="23"/>
      <c r="D298" s="28"/>
      <c r="E298" s="23"/>
      <c r="F298" s="23"/>
      <c r="G298" s="28"/>
      <c r="H298" s="28"/>
      <c r="I298" s="28"/>
      <c r="J298" s="28"/>
      <c r="K298" s="28"/>
      <c r="L298" s="28"/>
      <c r="M298" s="28"/>
      <c r="N298" s="28"/>
      <c r="O298" s="28"/>
      <c r="P298" s="28"/>
      <c r="Q298" s="28"/>
      <c r="R298" s="28"/>
      <c r="S298" s="28"/>
      <c r="T298" s="28"/>
      <c r="U298" s="28"/>
      <c r="V298" s="17">
        <f>IF($B298="","",COUNTIF(G298:U298,"OK"))</f>
        <v/>
      </c>
      <c r="W298" s="17">
        <f>IF($B298="","",COUNTIF(G298:U298,"NOK"))</f>
        <v/>
      </c>
      <c r="X298" s="9">
        <f>IF($B298="","",IF(V298+W298=0,"",V298/(V298+W298)))</f>
        <v/>
      </c>
      <c r="Y298" s="17">
        <f>IF(X298="","",IF(X298&gt;=Setup!$C$7,"PASS","FAIL"))</f>
        <v/>
      </c>
      <c r="Z298" s="17">
        <f>IF($B298="","",IF(W298=0,"",IF(COUNTIF(Findings!$B$6:$B$305,$A298)&gt;=W298,"OK","LOG FINDING")))</f>
        <v/>
      </c>
    </row>
    <row r="299" spans="1:26">
      <c r="A299" s="17">
        <f>IF($B299="","","A-1294")</f>
        <v/>
      </c>
      <c r="B299" s="24"/>
      <c r="C299" s="23"/>
      <c r="D299" s="28"/>
      <c r="E299" s="23"/>
      <c r="F299" s="23"/>
      <c r="G299" s="28"/>
      <c r="H299" s="28"/>
      <c r="I299" s="28"/>
      <c r="J299" s="28"/>
      <c r="K299" s="28"/>
      <c r="L299" s="28"/>
      <c r="M299" s="28"/>
      <c r="N299" s="28"/>
      <c r="O299" s="28"/>
      <c r="P299" s="28"/>
      <c r="Q299" s="28"/>
      <c r="R299" s="28"/>
      <c r="S299" s="28"/>
      <c r="T299" s="28"/>
      <c r="U299" s="28"/>
      <c r="V299" s="17">
        <f>IF($B299="","",COUNTIF(G299:U299,"OK"))</f>
        <v/>
      </c>
      <c r="W299" s="17">
        <f>IF($B299="","",COUNTIF(G299:U299,"NOK"))</f>
        <v/>
      </c>
      <c r="X299" s="9">
        <f>IF($B299="","",IF(V299+W299=0,"",V299/(V299+W299)))</f>
        <v/>
      </c>
      <c r="Y299" s="17">
        <f>IF(X299="","",IF(X299&gt;=Setup!$C$7,"PASS","FAIL"))</f>
        <v/>
      </c>
      <c r="Z299" s="17">
        <f>IF($B299="","",IF(W299=0,"",IF(COUNTIF(Findings!$B$6:$B$305,$A299)&gt;=W299,"OK","LOG FINDING")))</f>
        <v/>
      </c>
    </row>
    <row r="300" spans="1:26">
      <c r="A300" s="17">
        <f>IF($B300="","","A-1295")</f>
        <v/>
      </c>
      <c r="B300" s="24"/>
      <c r="C300" s="23"/>
      <c r="D300" s="28"/>
      <c r="E300" s="23"/>
      <c r="F300" s="23"/>
      <c r="G300" s="28"/>
      <c r="H300" s="28"/>
      <c r="I300" s="28"/>
      <c r="J300" s="28"/>
      <c r="K300" s="28"/>
      <c r="L300" s="28"/>
      <c r="M300" s="28"/>
      <c r="N300" s="28"/>
      <c r="O300" s="28"/>
      <c r="P300" s="28"/>
      <c r="Q300" s="28"/>
      <c r="R300" s="28"/>
      <c r="S300" s="28"/>
      <c r="T300" s="28"/>
      <c r="U300" s="28"/>
      <c r="V300" s="17">
        <f>IF($B300="","",COUNTIF(G300:U300,"OK"))</f>
        <v/>
      </c>
      <c r="W300" s="17">
        <f>IF($B300="","",COUNTIF(G300:U300,"NOK"))</f>
        <v/>
      </c>
      <c r="X300" s="9">
        <f>IF($B300="","",IF(V300+W300=0,"",V300/(V300+W300)))</f>
        <v/>
      </c>
      <c r="Y300" s="17">
        <f>IF(X300="","",IF(X300&gt;=Setup!$C$7,"PASS","FAIL"))</f>
        <v/>
      </c>
      <c r="Z300" s="17">
        <f>IF($B300="","",IF(W300=0,"",IF(COUNTIF(Findings!$B$6:$B$305,$A300)&gt;=W300,"OK","LOG FINDING")))</f>
        <v/>
      </c>
    </row>
    <row r="301" spans="1:26">
      <c r="A301" s="17">
        <f>IF($B301="","","A-1296")</f>
        <v/>
      </c>
      <c r="B301" s="24"/>
      <c r="C301" s="23"/>
      <c r="D301" s="28"/>
      <c r="E301" s="23"/>
      <c r="F301" s="23"/>
      <c r="G301" s="28"/>
      <c r="H301" s="28"/>
      <c r="I301" s="28"/>
      <c r="J301" s="28"/>
      <c r="K301" s="28"/>
      <c r="L301" s="28"/>
      <c r="M301" s="28"/>
      <c r="N301" s="28"/>
      <c r="O301" s="28"/>
      <c r="P301" s="28"/>
      <c r="Q301" s="28"/>
      <c r="R301" s="28"/>
      <c r="S301" s="28"/>
      <c r="T301" s="28"/>
      <c r="U301" s="28"/>
      <c r="V301" s="17">
        <f>IF($B301="","",COUNTIF(G301:U301,"OK"))</f>
        <v/>
      </c>
      <c r="W301" s="17">
        <f>IF($B301="","",COUNTIF(G301:U301,"NOK"))</f>
        <v/>
      </c>
      <c r="X301" s="9">
        <f>IF($B301="","",IF(V301+W301=0,"",V301/(V301+W301)))</f>
        <v/>
      </c>
      <c r="Y301" s="17">
        <f>IF(X301="","",IF(X301&gt;=Setup!$C$7,"PASS","FAIL"))</f>
        <v/>
      </c>
      <c r="Z301" s="17">
        <f>IF($B301="","",IF(W301=0,"",IF(COUNTIF(Findings!$B$6:$B$305,$A301)&gt;=W301,"OK","LOG FINDING")))</f>
        <v/>
      </c>
    </row>
    <row r="302" spans="1:26">
      <c r="A302" s="17">
        <f>IF($B302="","","A-1297")</f>
        <v/>
      </c>
      <c r="B302" s="24"/>
      <c r="C302" s="23"/>
      <c r="D302" s="28"/>
      <c r="E302" s="23"/>
      <c r="F302" s="23"/>
      <c r="G302" s="28"/>
      <c r="H302" s="28"/>
      <c r="I302" s="28"/>
      <c r="J302" s="28"/>
      <c r="K302" s="28"/>
      <c r="L302" s="28"/>
      <c r="M302" s="28"/>
      <c r="N302" s="28"/>
      <c r="O302" s="28"/>
      <c r="P302" s="28"/>
      <c r="Q302" s="28"/>
      <c r="R302" s="28"/>
      <c r="S302" s="28"/>
      <c r="T302" s="28"/>
      <c r="U302" s="28"/>
      <c r="V302" s="17">
        <f>IF($B302="","",COUNTIF(G302:U302,"OK"))</f>
        <v/>
      </c>
      <c r="W302" s="17">
        <f>IF($B302="","",COUNTIF(G302:U302,"NOK"))</f>
        <v/>
      </c>
      <c r="X302" s="9">
        <f>IF($B302="","",IF(V302+W302=0,"",V302/(V302+W302)))</f>
        <v/>
      </c>
      <c r="Y302" s="17">
        <f>IF(X302="","",IF(X302&gt;=Setup!$C$7,"PASS","FAIL"))</f>
        <v/>
      </c>
      <c r="Z302" s="17">
        <f>IF($B302="","",IF(W302=0,"",IF(COUNTIF(Findings!$B$6:$B$305,$A302)&gt;=W302,"OK","LOG FINDING")))</f>
        <v/>
      </c>
    </row>
    <row r="303" spans="1:26">
      <c r="A303" s="17">
        <f>IF($B303="","","A-1298")</f>
        <v/>
      </c>
      <c r="B303" s="24"/>
      <c r="C303" s="23"/>
      <c r="D303" s="28"/>
      <c r="E303" s="23"/>
      <c r="F303" s="23"/>
      <c r="G303" s="28"/>
      <c r="H303" s="28"/>
      <c r="I303" s="28"/>
      <c r="J303" s="28"/>
      <c r="K303" s="28"/>
      <c r="L303" s="28"/>
      <c r="M303" s="28"/>
      <c r="N303" s="28"/>
      <c r="O303" s="28"/>
      <c r="P303" s="28"/>
      <c r="Q303" s="28"/>
      <c r="R303" s="28"/>
      <c r="S303" s="28"/>
      <c r="T303" s="28"/>
      <c r="U303" s="28"/>
      <c r="V303" s="17">
        <f>IF($B303="","",COUNTIF(G303:U303,"OK"))</f>
        <v/>
      </c>
      <c r="W303" s="17">
        <f>IF($B303="","",COUNTIF(G303:U303,"NOK"))</f>
        <v/>
      </c>
      <c r="X303" s="9">
        <f>IF($B303="","",IF(V303+W303=0,"",V303/(V303+W303)))</f>
        <v/>
      </c>
      <c r="Y303" s="17">
        <f>IF(X303="","",IF(X303&gt;=Setup!$C$7,"PASS","FAIL"))</f>
        <v/>
      </c>
      <c r="Z303" s="17">
        <f>IF($B303="","",IF(W303=0,"",IF(COUNTIF(Findings!$B$6:$B$305,$A303)&gt;=W303,"OK","LOG FINDING")))</f>
        <v/>
      </c>
    </row>
    <row r="304" spans="1:26">
      <c r="A304" s="17">
        <f>IF($B304="","","A-1299")</f>
        <v/>
      </c>
      <c r="B304" s="24"/>
      <c r="C304" s="23"/>
      <c r="D304" s="28"/>
      <c r="E304" s="23"/>
      <c r="F304" s="23"/>
      <c r="G304" s="28"/>
      <c r="H304" s="28"/>
      <c r="I304" s="28"/>
      <c r="J304" s="28"/>
      <c r="K304" s="28"/>
      <c r="L304" s="28"/>
      <c r="M304" s="28"/>
      <c r="N304" s="28"/>
      <c r="O304" s="28"/>
      <c r="P304" s="28"/>
      <c r="Q304" s="28"/>
      <c r="R304" s="28"/>
      <c r="S304" s="28"/>
      <c r="T304" s="28"/>
      <c r="U304" s="28"/>
      <c r="V304" s="17">
        <f>IF($B304="","",COUNTIF(G304:U304,"OK"))</f>
        <v/>
      </c>
      <c r="W304" s="17">
        <f>IF($B304="","",COUNTIF(G304:U304,"NOK"))</f>
        <v/>
      </c>
      <c r="X304" s="9">
        <f>IF($B304="","",IF(V304+W304=0,"",V304/(V304+W304)))</f>
        <v/>
      </c>
      <c r="Y304" s="17">
        <f>IF(X304="","",IF(X304&gt;=Setup!$C$7,"PASS","FAIL"))</f>
        <v/>
      </c>
      <c r="Z304" s="17">
        <f>IF($B304="","",IF(W304=0,"",IF(COUNTIF(Findings!$B$6:$B$305,$A304)&gt;=W304,"OK","LOG FINDING")))</f>
        <v/>
      </c>
    </row>
    <row r="305" spans="1:26">
      <c r="A305" s="17">
        <f>IF($B305="","","A-1300")</f>
        <v/>
      </c>
      <c r="B305" s="24"/>
      <c r="C305" s="23"/>
      <c r="D305" s="28"/>
      <c r="E305" s="23"/>
      <c r="F305" s="23"/>
      <c r="G305" s="28"/>
      <c r="H305" s="28"/>
      <c r="I305" s="28"/>
      <c r="J305" s="28"/>
      <c r="K305" s="28"/>
      <c r="L305" s="28"/>
      <c r="M305" s="28"/>
      <c r="N305" s="28"/>
      <c r="O305" s="28"/>
      <c r="P305" s="28"/>
      <c r="Q305" s="28"/>
      <c r="R305" s="28"/>
      <c r="S305" s="28"/>
      <c r="T305" s="28"/>
      <c r="U305" s="28"/>
      <c r="V305" s="17">
        <f>IF($B305="","",COUNTIF(G305:U305,"OK"))</f>
        <v/>
      </c>
      <c r="W305" s="17">
        <f>IF($B305="","",COUNTIF(G305:U305,"NOK"))</f>
        <v/>
      </c>
      <c r="X305" s="9">
        <f>IF($B305="","",IF(V305+W305=0,"",V305/(V305+W305)))</f>
        <v/>
      </c>
      <c r="Y305" s="17">
        <f>IF(X305="","",IF(X305&gt;=Setup!$C$7,"PASS","FAIL"))</f>
        <v/>
      </c>
      <c r="Z305" s="17">
        <f>IF($B305="","",IF(W305=0,"",IF(COUNTIF(Findings!$B$6:$B$305,$A305)&gt;=W305,"OK","LOG FINDING")))</f>
        <v/>
      </c>
    </row>
    <row r="306" spans="1:26">
      <c r="A306" s="17">
        <f>IF($B306="","","A-1301")</f>
        <v/>
      </c>
      <c r="B306" s="24"/>
      <c r="C306" s="23"/>
      <c r="D306" s="28"/>
      <c r="E306" s="23"/>
      <c r="F306" s="23"/>
      <c r="G306" s="28"/>
      <c r="H306" s="28"/>
      <c r="I306" s="28"/>
      <c r="J306" s="28"/>
      <c r="K306" s="28"/>
      <c r="L306" s="28"/>
      <c r="M306" s="28"/>
      <c r="N306" s="28"/>
      <c r="O306" s="28"/>
      <c r="P306" s="28"/>
      <c r="Q306" s="28"/>
      <c r="R306" s="28"/>
      <c r="S306" s="28"/>
      <c r="T306" s="28"/>
      <c r="U306" s="28"/>
      <c r="V306" s="17">
        <f>IF($B306="","",COUNTIF(G306:U306,"OK"))</f>
        <v/>
      </c>
      <c r="W306" s="17">
        <f>IF($B306="","",COUNTIF(G306:U306,"NOK"))</f>
        <v/>
      </c>
      <c r="X306" s="9">
        <f>IF($B306="","",IF(V306+W306=0,"",V306/(V306+W306)))</f>
        <v/>
      </c>
      <c r="Y306" s="17">
        <f>IF(X306="","",IF(X306&gt;=Setup!$C$7,"PASS","FAIL"))</f>
        <v/>
      </c>
      <c r="Z306" s="17">
        <f>IF($B306="","",IF(W306=0,"",IF(COUNTIF(Findings!$B$6:$B$305,$A306)&gt;=W306,"OK","LOG FINDING")))</f>
        <v/>
      </c>
    </row>
    <row r="307" spans="1:26">
      <c r="A307" s="17">
        <f>IF($B307="","","A-1302")</f>
        <v/>
      </c>
      <c r="B307" s="24"/>
      <c r="C307" s="23"/>
      <c r="D307" s="28"/>
      <c r="E307" s="23"/>
      <c r="F307" s="23"/>
      <c r="G307" s="28"/>
      <c r="H307" s="28"/>
      <c r="I307" s="28"/>
      <c r="J307" s="28"/>
      <c r="K307" s="28"/>
      <c r="L307" s="28"/>
      <c r="M307" s="28"/>
      <c r="N307" s="28"/>
      <c r="O307" s="28"/>
      <c r="P307" s="28"/>
      <c r="Q307" s="28"/>
      <c r="R307" s="28"/>
      <c r="S307" s="28"/>
      <c r="T307" s="28"/>
      <c r="U307" s="28"/>
      <c r="V307" s="17">
        <f>IF($B307="","",COUNTIF(G307:U307,"OK"))</f>
        <v/>
      </c>
      <c r="W307" s="17">
        <f>IF($B307="","",COUNTIF(G307:U307,"NOK"))</f>
        <v/>
      </c>
      <c r="X307" s="9">
        <f>IF($B307="","",IF(V307+W307=0,"",V307/(V307+W307)))</f>
        <v/>
      </c>
      <c r="Y307" s="17">
        <f>IF(X307="","",IF(X307&gt;=Setup!$C$7,"PASS","FAIL"))</f>
        <v/>
      </c>
      <c r="Z307" s="17">
        <f>IF($B307="","",IF(W307=0,"",IF(COUNTIF(Findings!$B$6:$B$305,$A307)&gt;=W307,"OK","LOG FINDING")))</f>
        <v/>
      </c>
    </row>
    <row r="308" spans="1:26">
      <c r="A308" s="17">
        <f>IF($B308="","","A-1303")</f>
        <v/>
      </c>
      <c r="B308" s="24"/>
      <c r="C308" s="23"/>
      <c r="D308" s="28"/>
      <c r="E308" s="23"/>
      <c r="F308" s="23"/>
      <c r="G308" s="28"/>
      <c r="H308" s="28"/>
      <c r="I308" s="28"/>
      <c r="J308" s="28"/>
      <c r="K308" s="28"/>
      <c r="L308" s="28"/>
      <c r="M308" s="28"/>
      <c r="N308" s="28"/>
      <c r="O308" s="28"/>
      <c r="P308" s="28"/>
      <c r="Q308" s="28"/>
      <c r="R308" s="28"/>
      <c r="S308" s="28"/>
      <c r="T308" s="28"/>
      <c r="U308" s="28"/>
      <c r="V308" s="17">
        <f>IF($B308="","",COUNTIF(G308:U308,"OK"))</f>
        <v/>
      </c>
      <c r="W308" s="17">
        <f>IF($B308="","",COUNTIF(G308:U308,"NOK"))</f>
        <v/>
      </c>
      <c r="X308" s="9">
        <f>IF($B308="","",IF(V308+W308=0,"",V308/(V308+W308)))</f>
        <v/>
      </c>
      <c r="Y308" s="17">
        <f>IF(X308="","",IF(X308&gt;=Setup!$C$7,"PASS","FAIL"))</f>
        <v/>
      </c>
      <c r="Z308" s="17">
        <f>IF($B308="","",IF(W308=0,"",IF(COUNTIF(Findings!$B$6:$B$305,$A308)&gt;=W308,"OK","LOG FINDING")))</f>
        <v/>
      </c>
    </row>
    <row r="309" spans="1:26">
      <c r="A309" s="17">
        <f>IF($B309="","","A-1304")</f>
        <v/>
      </c>
      <c r="B309" s="24"/>
      <c r="C309" s="23"/>
      <c r="D309" s="28"/>
      <c r="E309" s="23"/>
      <c r="F309" s="23"/>
      <c r="G309" s="28"/>
      <c r="H309" s="28"/>
      <c r="I309" s="28"/>
      <c r="J309" s="28"/>
      <c r="K309" s="28"/>
      <c r="L309" s="28"/>
      <c r="M309" s="28"/>
      <c r="N309" s="28"/>
      <c r="O309" s="28"/>
      <c r="P309" s="28"/>
      <c r="Q309" s="28"/>
      <c r="R309" s="28"/>
      <c r="S309" s="28"/>
      <c r="T309" s="28"/>
      <c r="U309" s="28"/>
      <c r="V309" s="17">
        <f>IF($B309="","",COUNTIF(G309:U309,"OK"))</f>
        <v/>
      </c>
      <c r="W309" s="17">
        <f>IF($B309="","",COUNTIF(G309:U309,"NOK"))</f>
        <v/>
      </c>
      <c r="X309" s="9">
        <f>IF($B309="","",IF(V309+W309=0,"",V309/(V309+W309)))</f>
        <v/>
      </c>
      <c r="Y309" s="17">
        <f>IF(X309="","",IF(X309&gt;=Setup!$C$7,"PASS","FAIL"))</f>
        <v/>
      </c>
      <c r="Z309" s="17">
        <f>IF($B309="","",IF(W309=0,"",IF(COUNTIF(Findings!$B$6:$B$305,$A309)&gt;=W309,"OK","LOG FINDING")))</f>
        <v/>
      </c>
    </row>
    <row r="310" spans="1:26">
      <c r="A310" s="17">
        <f>IF($B310="","","A-1305")</f>
        <v/>
      </c>
      <c r="B310" s="24"/>
      <c r="C310" s="23"/>
      <c r="D310" s="28"/>
      <c r="E310" s="23"/>
      <c r="F310" s="23"/>
      <c r="G310" s="28"/>
      <c r="H310" s="28"/>
      <c r="I310" s="28"/>
      <c r="J310" s="28"/>
      <c r="K310" s="28"/>
      <c r="L310" s="28"/>
      <c r="M310" s="28"/>
      <c r="N310" s="28"/>
      <c r="O310" s="28"/>
      <c r="P310" s="28"/>
      <c r="Q310" s="28"/>
      <c r="R310" s="28"/>
      <c r="S310" s="28"/>
      <c r="T310" s="28"/>
      <c r="U310" s="28"/>
      <c r="V310" s="17">
        <f>IF($B310="","",COUNTIF(G310:U310,"OK"))</f>
        <v/>
      </c>
      <c r="W310" s="17">
        <f>IF($B310="","",COUNTIF(G310:U310,"NOK"))</f>
        <v/>
      </c>
      <c r="X310" s="9">
        <f>IF($B310="","",IF(V310+W310=0,"",V310/(V310+W310)))</f>
        <v/>
      </c>
      <c r="Y310" s="17">
        <f>IF(X310="","",IF(X310&gt;=Setup!$C$7,"PASS","FAIL"))</f>
        <v/>
      </c>
      <c r="Z310" s="17">
        <f>IF($B310="","",IF(W310=0,"",IF(COUNTIF(Findings!$B$6:$B$305,$A310)&gt;=W310,"OK","LOG FINDING")))</f>
        <v/>
      </c>
    </row>
    <row r="311" spans="1:26">
      <c r="A311" s="17">
        <f>IF($B311="","","A-1306")</f>
        <v/>
      </c>
      <c r="B311" s="24"/>
      <c r="C311" s="23"/>
      <c r="D311" s="28"/>
      <c r="E311" s="23"/>
      <c r="F311" s="23"/>
      <c r="G311" s="28"/>
      <c r="H311" s="28"/>
      <c r="I311" s="28"/>
      <c r="J311" s="28"/>
      <c r="K311" s="28"/>
      <c r="L311" s="28"/>
      <c r="M311" s="28"/>
      <c r="N311" s="28"/>
      <c r="O311" s="28"/>
      <c r="P311" s="28"/>
      <c r="Q311" s="28"/>
      <c r="R311" s="28"/>
      <c r="S311" s="28"/>
      <c r="T311" s="28"/>
      <c r="U311" s="28"/>
      <c r="V311" s="17">
        <f>IF($B311="","",COUNTIF(G311:U311,"OK"))</f>
        <v/>
      </c>
      <c r="W311" s="17">
        <f>IF($B311="","",COUNTIF(G311:U311,"NOK"))</f>
        <v/>
      </c>
      <c r="X311" s="9">
        <f>IF($B311="","",IF(V311+W311=0,"",V311/(V311+W311)))</f>
        <v/>
      </c>
      <c r="Y311" s="17">
        <f>IF(X311="","",IF(X311&gt;=Setup!$C$7,"PASS","FAIL"))</f>
        <v/>
      </c>
      <c r="Z311" s="17">
        <f>IF($B311="","",IF(W311=0,"",IF(COUNTIF(Findings!$B$6:$B$305,$A311)&gt;=W311,"OK","LOG FINDING")))</f>
        <v/>
      </c>
    </row>
    <row r="312" spans="1:26">
      <c r="A312" s="17">
        <f>IF($B312="","","A-1307")</f>
        <v/>
      </c>
      <c r="B312" s="24"/>
      <c r="C312" s="23"/>
      <c r="D312" s="28"/>
      <c r="E312" s="23"/>
      <c r="F312" s="23"/>
      <c r="G312" s="28"/>
      <c r="H312" s="28"/>
      <c r="I312" s="28"/>
      <c r="J312" s="28"/>
      <c r="K312" s="28"/>
      <c r="L312" s="28"/>
      <c r="M312" s="28"/>
      <c r="N312" s="28"/>
      <c r="O312" s="28"/>
      <c r="P312" s="28"/>
      <c r="Q312" s="28"/>
      <c r="R312" s="28"/>
      <c r="S312" s="28"/>
      <c r="T312" s="28"/>
      <c r="U312" s="28"/>
      <c r="V312" s="17">
        <f>IF($B312="","",COUNTIF(G312:U312,"OK"))</f>
        <v/>
      </c>
      <c r="W312" s="17">
        <f>IF($B312="","",COUNTIF(G312:U312,"NOK"))</f>
        <v/>
      </c>
      <c r="X312" s="9">
        <f>IF($B312="","",IF(V312+W312=0,"",V312/(V312+W312)))</f>
        <v/>
      </c>
      <c r="Y312" s="17">
        <f>IF(X312="","",IF(X312&gt;=Setup!$C$7,"PASS","FAIL"))</f>
        <v/>
      </c>
      <c r="Z312" s="17">
        <f>IF($B312="","",IF(W312=0,"",IF(COUNTIF(Findings!$B$6:$B$305,$A312)&gt;=W312,"OK","LOG FINDING")))</f>
        <v/>
      </c>
    </row>
    <row r="313" spans="1:26">
      <c r="A313" s="17">
        <f>IF($B313="","","A-1308")</f>
        <v/>
      </c>
      <c r="B313" s="24"/>
      <c r="C313" s="23"/>
      <c r="D313" s="28"/>
      <c r="E313" s="23"/>
      <c r="F313" s="23"/>
      <c r="G313" s="28"/>
      <c r="H313" s="28"/>
      <c r="I313" s="28"/>
      <c r="J313" s="28"/>
      <c r="K313" s="28"/>
      <c r="L313" s="28"/>
      <c r="M313" s="28"/>
      <c r="N313" s="28"/>
      <c r="O313" s="28"/>
      <c r="P313" s="28"/>
      <c r="Q313" s="28"/>
      <c r="R313" s="28"/>
      <c r="S313" s="28"/>
      <c r="T313" s="28"/>
      <c r="U313" s="28"/>
      <c r="V313" s="17">
        <f>IF($B313="","",COUNTIF(G313:U313,"OK"))</f>
        <v/>
      </c>
      <c r="W313" s="17">
        <f>IF($B313="","",COUNTIF(G313:U313,"NOK"))</f>
        <v/>
      </c>
      <c r="X313" s="9">
        <f>IF($B313="","",IF(V313+W313=0,"",V313/(V313+W313)))</f>
        <v/>
      </c>
      <c r="Y313" s="17">
        <f>IF(X313="","",IF(X313&gt;=Setup!$C$7,"PASS","FAIL"))</f>
        <v/>
      </c>
      <c r="Z313" s="17">
        <f>IF($B313="","",IF(W313=0,"",IF(COUNTIF(Findings!$B$6:$B$305,$A313)&gt;=W313,"OK","LOG FINDING")))</f>
        <v/>
      </c>
    </row>
    <row r="314" spans="1:26">
      <c r="A314" s="17">
        <f>IF($B314="","","A-1309")</f>
        <v/>
      </c>
      <c r="B314" s="24"/>
      <c r="C314" s="23"/>
      <c r="D314" s="28"/>
      <c r="E314" s="23"/>
      <c r="F314" s="23"/>
      <c r="G314" s="28"/>
      <c r="H314" s="28"/>
      <c r="I314" s="28"/>
      <c r="J314" s="28"/>
      <c r="K314" s="28"/>
      <c r="L314" s="28"/>
      <c r="M314" s="28"/>
      <c r="N314" s="28"/>
      <c r="O314" s="28"/>
      <c r="P314" s="28"/>
      <c r="Q314" s="28"/>
      <c r="R314" s="28"/>
      <c r="S314" s="28"/>
      <c r="T314" s="28"/>
      <c r="U314" s="28"/>
      <c r="V314" s="17">
        <f>IF($B314="","",COUNTIF(G314:U314,"OK"))</f>
        <v/>
      </c>
      <c r="W314" s="17">
        <f>IF($B314="","",COUNTIF(G314:U314,"NOK"))</f>
        <v/>
      </c>
      <c r="X314" s="9">
        <f>IF($B314="","",IF(V314+W314=0,"",V314/(V314+W314)))</f>
        <v/>
      </c>
      <c r="Y314" s="17">
        <f>IF(X314="","",IF(X314&gt;=Setup!$C$7,"PASS","FAIL"))</f>
        <v/>
      </c>
      <c r="Z314" s="17">
        <f>IF($B314="","",IF(W314=0,"",IF(COUNTIF(Findings!$B$6:$B$305,$A314)&gt;=W314,"OK","LOG FINDING")))</f>
        <v/>
      </c>
    </row>
    <row r="315" spans="1:26">
      <c r="A315" s="17">
        <f>IF($B315="","","A-1310")</f>
        <v/>
      </c>
      <c r="B315" s="24"/>
      <c r="C315" s="23"/>
      <c r="D315" s="28"/>
      <c r="E315" s="23"/>
      <c r="F315" s="23"/>
      <c r="G315" s="28"/>
      <c r="H315" s="28"/>
      <c r="I315" s="28"/>
      <c r="J315" s="28"/>
      <c r="K315" s="28"/>
      <c r="L315" s="28"/>
      <c r="M315" s="28"/>
      <c r="N315" s="28"/>
      <c r="O315" s="28"/>
      <c r="P315" s="28"/>
      <c r="Q315" s="28"/>
      <c r="R315" s="28"/>
      <c r="S315" s="28"/>
      <c r="T315" s="28"/>
      <c r="U315" s="28"/>
      <c r="V315" s="17">
        <f>IF($B315="","",COUNTIF(G315:U315,"OK"))</f>
        <v/>
      </c>
      <c r="W315" s="17">
        <f>IF($B315="","",COUNTIF(G315:U315,"NOK"))</f>
        <v/>
      </c>
      <c r="X315" s="9">
        <f>IF($B315="","",IF(V315+W315=0,"",V315/(V315+W315)))</f>
        <v/>
      </c>
      <c r="Y315" s="17">
        <f>IF(X315="","",IF(X315&gt;=Setup!$C$7,"PASS","FAIL"))</f>
        <v/>
      </c>
      <c r="Z315" s="17">
        <f>IF($B315="","",IF(W315=0,"",IF(COUNTIF(Findings!$B$6:$B$305,$A315)&gt;=W315,"OK","LOG FINDING")))</f>
        <v/>
      </c>
    </row>
    <row r="316" spans="1:26">
      <c r="A316" s="17">
        <f>IF($B316="","","A-1311")</f>
        <v/>
      </c>
      <c r="B316" s="24"/>
      <c r="C316" s="23"/>
      <c r="D316" s="28"/>
      <c r="E316" s="23"/>
      <c r="F316" s="23"/>
      <c r="G316" s="28"/>
      <c r="H316" s="28"/>
      <c r="I316" s="28"/>
      <c r="J316" s="28"/>
      <c r="K316" s="28"/>
      <c r="L316" s="28"/>
      <c r="M316" s="28"/>
      <c r="N316" s="28"/>
      <c r="O316" s="28"/>
      <c r="P316" s="28"/>
      <c r="Q316" s="28"/>
      <c r="R316" s="28"/>
      <c r="S316" s="28"/>
      <c r="T316" s="28"/>
      <c r="U316" s="28"/>
      <c r="V316" s="17">
        <f>IF($B316="","",COUNTIF(G316:U316,"OK"))</f>
        <v/>
      </c>
      <c r="W316" s="17">
        <f>IF($B316="","",COUNTIF(G316:U316,"NOK"))</f>
        <v/>
      </c>
      <c r="X316" s="9">
        <f>IF($B316="","",IF(V316+W316=0,"",V316/(V316+W316)))</f>
        <v/>
      </c>
      <c r="Y316" s="17">
        <f>IF(X316="","",IF(X316&gt;=Setup!$C$7,"PASS","FAIL"))</f>
        <v/>
      </c>
      <c r="Z316" s="17">
        <f>IF($B316="","",IF(W316=0,"",IF(COUNTIF(Findings!$B$6:$B$305,$A316)&gt;=W316,"OK","LOG FINDING")))</f>
        <v/>
      </c>
    </row>
    <row r="317" spans="1:26">
      <c r="A317" s="17">
        <f>IF($B317="","","A-1312")</f>
        <v/>
      </c>
      <c r="B317" s="24"/>
      <c r="C317" s="23"/>
      <c r="D317" s="28"/>
      <c r="E317" s="23"/>
      <c r="F317" s="23"/>
      <c r="G317" s="28"/>
      <c r="H317" s="28"/>
      <c r="I317" s="28"/>
      <c r="J317" s="28"/>
      <c r="K317" s="28"/>
      <c r="L317" s="28"/>
      <c r="M317" s="28"/>
      <c r="N317" s="28"/>
      <c r="O317" s="28"/>
      <c r="P317" s="28"/>
      <c r="Q317" s="28"/>
      <c r="R317" s="28"/>
      <c r="S317" s="28"/>
      <c r="T317" s="28"/>
      <c r="U317" s="28"/>
      <c r="V317" s="17">
        <f>IF($B317="","",COUNTIF(G317:U317,"OK"))</f>
        <v/>
      </c>
      <c r="W317" s="17">
        <f>IF($B317="","",COUNTIF(G317:U317,"NOK"))</f>
        <v/>
      </c>
      <c r="X317" s="9">
        <f>IF($B317="","",IF(V317+W317=0,"",V317/(V317+W317)))</f>
        <v/>
      </c>
      <c r="Y317" s="17">
        <f>IF(X317="","",IF(X317&gt;=Setup!$C$7,"PASS","FAIL"))</f>
        <v/>
      </c>
      <c r="Z317" s="17">
        <f>IF($B317="","",IF(W317=0,"",IF(COUNTIF(Findings!$B$6:$B$305,$A317)&gt;=W317,"OK","LOG FINDING")))</f>
        <v/>
      </c>
    </row>
    <row r="318" spans="1:26">
      <c r="A318" s="17">
        <f>IF($B318="","","A-1313")</f>
        <v/>
      </c>
      <c r="B318" s="24"/>
      <c r="C318" s="23"/>
      <c r="D318" s="28"/>
      <c r="E318" s="23"/>
      <c r="F318" s="23"/>
      <c r="G318" s="28"/>
      <c r="H318" s="28"/>
      <c r="I318" s="28"/>
      <c r="J318" s="28"/>
      <c r="K318" s="28"/>
      <c r="L318" s="28"/>
      <c r="M318" s="28"/>
      <c r="N318" s="28"/>
      <c r="O318" s="28"/>
      <c r="P318" s="28"/>
      <c r="Q318" s="28"/>
      <c r="R318" s="28"/>
      <c r="S318" s="28"/>
      <c r="T318" s="28"/>
      <c r="U318" s="28"/>
      <c r="V318" s="17">
        <f>IF($B318="","",COUNTIF(G318:U318,"OK"))</f>
        <v/>
      </c>
      <c r="W318" s="17">
        <f>IF($B318="","",COUNTIF(G318:U318,"NOK"))</f>
        <v/>
      </c>
      <c r="X318" s="9">
        <f>IF($B318="","",IF(V318+W318=0,"",V318/(V318+W318)))</f>
        <v/>
      </c>
      <c r="Y318" s="17">
        <f>IF(X318="","",IF(X318&gt;=Setup!$C$7,"PASS","FAIL"))</f>
        <v/>
      </c>
      <c r="Z318" s="17">
        <f>IF($B318="","",IF(W318=0,"",IF(COUNTIF(Findings!$B$6:$B$305,$A318)&gt;=W318,"OK","LOG FINDING")))</f>
        <v/>
      </c>
    </row>
    <row r="319" spans="1:26">
      <c r="A319" s="17">
        <f>IF($B319="","","A-1314")</f>
        <v/>
      </c>
      <c r="B319" s="24"/>
      <c r="C319" s="23"/>
      <c r="D319" s="28"/>
      <c r="E319" s="23"/>
      <c r="F319" s="23"/>
      <c r="G319" s="28"/>
      <c r="H319" s="28"/>
      <c r="I319" s="28"/>
      <c r="J319" s="28"/>
      <c r="K319" s="28"/>
      <c r="L319" s="28"/>
      <c r="M319" s="28"/>
      <c r="N319" s="28"/>
      <c r="O319" s="28"/>
      <c r="P319" s="28"/>
      <c r="Q319" s="28"/>
      <c r="R319" s="28"/>
      <c r="S319" s="28"/>
      <c r="T319" s="28"/>
      <c r="U319" s="28"/>
      <c r="V319" s="17">
        <f>IF($B319="","",COUNTIF(G319:U319,"OK"))</f>
        <v/>
      </c>
      <c r="W319" s="17">
        <f>IF($B319="","",COUNTIF(G319:U319,"NOK"))</f>
        <v/>
      </c>
      <c r="X319" s="9">
        <f>IF($B319="","",IF(V319+W319=0,"",V319/(V319+W319)))</f>
        <v/>
      </c>
      <c r="Y319" s="17">
        <f>IF(X319="","",IF(X319&gt;=Setup!$C$7,"PASS","FAIL"))</f>
        <v/>
      </c>
      <c r="Z319" s="17">
        <f>IF($B319="","",IF(W319=0,"",IF(COUNTIF(Findings!$B$6:$B$305,$A319)&gt;=W319,"OK","LOG FINDING")))</f>
        <v/>
      </c>
    </row>
    <row r="320" spans="1:26">
      <c r="A320" s="17">
        <f>IF($B320="","","A-1315")</f>
        <v/>
      </c>
      <c r="B320" s="24"/>
      <c r="C320" s="23"/>
      <c r="D320" s="28"/>
      <c r="E320" s="23"/>
      <c r="F320" s="23"/>
      <c r="G320" s="28"/>
      <c r="H320" s="28"/>
      <c r="I320" s="28"/>
      <c r="J320" s="28"/>
      <c r="K320" s="28"/>
      <c r="L320" s="28"/>
      <c r="M320" s="28"/>
      <c r="N320" s="28"/>
      <c r="O320" s="28"/>
      <c r="P320" s="28"/>
      <c r="Q320" s="28"/>
      <c r="R320" s="28"/>
      <c r="S320" s="28"/>
      <c r="T320" s="28"/>
      <c r="U320" s="28"/>
      <c r="V320" s="17">
        <f>IF($B320="","",COUNTIF(G320:U320,"OK"))</f>
        <v/>
      </c>
      <c r="W320" s="17">
        <f>IF($B320="","",COUNTIF(G320:U320,"NOK"))</f>
        <v/>
      </c>
      <c r="X320" s="9">
        <f>IF($B320="","",IF(V320+W320=0,"",V320/(V320+W320)))</f>
        <v/>
      </c>
      <c r="Y320" s="17">
        <f>IF(X320="","",IF(X320&gt;=Setup!$C$7,"PASS","FAIL"))</f>
        <v/>
      </c>
      <c r="Z320" s="17">
        <f>IF($B320="","",IF(W320=0,"",IF(COUNTIF(Findings!$B$6:$B$305,$A320)&gt;=W320,"OK","LOG FINDING")))</f>
        <v/>
      </c>
    </row>
    <row r="321" spans="1:26">
      <c r="A321" s="17">
        <f>IF($B321="","","A-1316")</f>
        <v/>
      </c>
      <c r="B321" s="24"/>
      <c r="C321" s="23"/>
      <c r="D321" s="28"/>
      <c r="E321" s="23"/>
      <c r="F321" s="23"/>
      <c r="G321" s="28"/>
      <c r="H321" s="28"/>
      <c r="I321" s="28"/>
      <c r="J321" s="28"/>
      <c r="K321" s="28"/>
      <c r="L321" s="28"/>
      <c r="M321" s="28"/>
      <c r="N321" s="28"/>
      <c r="O321" s="28"/>
      <c r="P321" s="28"/>
      <c r="Q321" s="28"/>
      <c r="R321" s="28"/>
      <c r="S321" s="28"/>
      <c r="T321" s="28"/>
      <c r="U321" s="28"/>
      <c r="V321" s="17">
        <f>IF($B321="","",COUNTIF(G321:U321,"OK"))</f>
        <v/>
      </c>
      <c r="W321" s="17">
        <f>IF($B321="","",COUNTIF(G321:U321,"NOK"))</f>
        <v/>
      </c>
      <c r="X321" s="9">
        <f>IF($B321="","",IF(V321+W321=0,"",V321/(V321+W321)))</f>
        <v/>
      </c>
      <c r="Y321" s="17">
        <f>IF(X321="","",IF(X321&gt;=Setup!$C$7,"PASS","FAIL"))</f>
        <v/>
      </c>
      <c r="Z321" s="17">
        <f>IF($B321="","",IF(W321=0,"",IF(COUNTIF(Findings!$B$6:$B$305,$A321)&gt;=W321,"OK","LOG FINDING")))</f>
        <v/>
      </c>
    </row>
    <row r="322" spans="1:26">
      <c r="A322" s="17">
        <f>IF($B322="","","A-1317")</f>
        <v/>
      </c>
      <c r="B322" s="24"/>
      <c r="C322" s="23"/>
      <c r="D322" s="28"/>
      <c r="E322" s="23"/>
      <c r="F322" s="23"/>
      <c r="G322" s="28"/>
      <c r="H322" s="28"/>
      <c r="I322" s="28"/>
      <c r="J322" s="28"/>
      <c r="K322" s="28"/>
      <c r="L322" s="28"/>
      <c r="M322" s="28"/>
      <c r="N322" s="28"/>
      <c r="O322" s="28"/>
      <c r="P322" s="28"/>
      <c r="Q322" s="28"/>
      <c r="R322" s="28"/>
      <c r="S322" s="28"/>
      <c r="T322" s="28"/>
      <c r="U322" s="28"/>
      <c r="V322" s="17">
        <f>IF($B322="","",COUNTIF(G322:U322,"OK"))</f>
        <v/>
      </c>
      <c r="W322" s="17">
        <f>IF($B322="","",COUNTIF(G322:U322,"NOK"))</f>
        <v/>
      </c>
      <c r="X322" s="9">
        <f>IF($B322="","",IF(V322+W322=0,"",V322/(V322+W322)))</f>
        <v/>
      </c>
      <c r="Y322" s="17">
        <f>IF(X322="","",IF(X322&gt;=Setup!$C$7,"PASS","FAIL"))</f>
        <v/>
      </c>
      <c r="Z322" s="17">
        <f>IF($B322="","",IF(W322=0,"",IF(COUNTIF(Findings!$B$6:$B$305,$A322)&gt;=W322,"OK","LOG FINDING")))</f>
        <v/>
      </c>
    </row>
    <row r="323" spans="1:26">
      <c r="A323" s="17">
        <f>IF($B323="","","A-1318")</f>
        <v/>
      </c>
      <c r="B323" s="24"/>
      <c r="C323" s="23"/>
      <c r="D323" s="28"/>
      <c r="E323" s="23"/>
      <c r="F323" s="23"/>
      <c r="G323" s="28"/>
      <c r="H323" s="28"/>
      <c r="I323" s="28"/>
      <c r="J323" s="28"/>
      <c r="K323" s="28"/>
      <c r="L323" s="28"/>
      <c r="M323" s="28"/>
      <c r="N323" s="28"/>
      <c r="O323" s="28"/>
      <c r="P323" s="28"/>
      <c r="Q323" s="28"/>
      <c r="R323" s="28"/>
      <c r="S323" s="28"/>
      <c r="T323" s="28"/>
      <c r="U323" s="28"/>
      <c r="V323" s="17">
        <f>IF($B323="","",COUNTIF(G323:U323,"OK"))</f>
        <v/>
      </c>
      <c r="W323" s="17">
        <f>IF($B323="","",COUNTIF(G323:U323,"NOK"))</f>
        <v/>
      </c>
      <c r="X323" s="9">
        <f>IF($B323="","",IF(V323+W323=0,"",V323/(V323+W323)))</f>
        <v/>
      </c>
      <c r="Y323" s="17">
        <f>IF(X323="","",IF(X323&gt;=Setup!$C$7,"PASS","FAIL"))</f>
        <v/>
      </c>
      <c r="Z323" s="17">
        <f>IF($B323="","",IF(W323=0,"",IF(COUNTIF(Findings!$B$6:$B$305,$A323)&gt;=W323,"OK","LOG FINDING")))</f>
        <v/>
      </c>
    </row>
    <row r="324" spans="1:26">
      <c r="A324" s="17">
        <f>IF($B324="","","A-1319")</f>
        <v/>
      </c>
      <c r="B324" s="24"/>
      <c r="C324" s="23"/>
      <c r="D324" s="28"/>
      <c r="E324" s="23"/>
      <c r="F324" s="23"/>
      <c r="G324" s="28"/>
      <c r="H324" s="28"/>
      <c r="I324" s="28"/>
      <c r="J324" s="28"/>
      <c r="K324" s="28"/>
      <c r="L324" s="28"/>
      <c r="M324" s="28"/>
      <c r="N324" s="28"/>
      <c r="O324" s="28"/>
      <c r="P324" s="28"/>
      <c r="Q324" s="28"/>
      <c r="R324" s="28"/>
      <c r="S324" s="28"/>
      <c r="T324" s="28"/>
      <c r="U324" s="28"/>
      <c r="V324" s="17">
        <f>IF($B324="","",COUNTIF(G324:U324,"OK"))</f>
        <v/>
      </c>
      <c r="W324" s="17">
        <f>IF($B324="","",COUNTIF(G324:U324,"NOK"))</f>
        <v/>
      </c>
      <c r="X324" s="9">
        <f>IF($B324="","",IF(V324+W324=0,"",V324/(V324+W324)))</f>
        <v/>
      </c>
      <c r="Y324" s="17">
        <f>IF(X324="","",IF(X324&gt;=Setup!$C$7,"PASS","FAIL"))</f>
        <v/>
      </c>
      <c r="Z324" s="17">
        <f>IF($B324="","",IF(W324=0,"",IF(COUNTIF(Findings!$B$6:$B$305,$A324)&gt;=W324,"OK","LOG FINDING")))</f>
        <v/>
      </c>
    </row>
    <row r="325" spans="1:26">
      <c r="A325" s="17">
        <f>IF($B325="","","A-1320")</f>
        <v/>
      </c>
      <c r="B325" s="24"/>
      <c r="C325" s="23"/>
      <c r="D325" s="28"/>
      <c r="E325" s="23"/>
      <c r="F325" s="23"/>
      <c r="G325" s="28"/>
      <c r="H325" s="28"/>
      <c r="I325" s="28"/>
      <c r="J325" s="28"/>
      <c r="K325" s="28"/>
      <c r="L325" s="28"/>
      <c r="M325" s="28"/>
      <c r="N325" s="28"/>
      <c r="O325" s="28"/>
      <c r="P325" s="28"/>
      <c r="Q325" s="28"/>
      <c r="R325" s="28"/>
      <c r="S325" s="28"/>
      <c r="T325" s="28"/>
      <c r="U325" s="28"/>
      <c r="V325" s="17">
        <f>IF($B325="","",COUNTIF(G325:U325,"OK"))</f>
        <v/>
      </c>
      <c r="W325" s="17">
        <f>IF($B325="","",COUNTIF(G325:U325,"NOK"))</f>
        <v/>
      </c>
      <c r="X325" s="9">
        <f>IF($B325="","",IF(V325+W325=0,"",V325/(V325+W325)))</f>
        <v/>
      </c>
      <c r="Y325" s="17">
        <f>IF(X325="","",IF(X325&gt;=Setup!$C$7,"PASS","FAIL"))</f>
        <v/>
      </c>
      <c r="Z325" s="17">
        <f>IF($B325="","",IF(W325=0,"",IF(COUNTIF(Findings!$B$6:$B$305,$A325)&gt;=W325,"OK","LOG FINDING")))</f>
        <v/>
      </c>
    </row>
    <row r="326" spans="1:26">
      <c r="A326" s="17">
        <f>IF($B326="","","A-1321")</f>
        <v/>
      </c>
      <c r="B326" s="24"/>
      <c r="C326" s="23"/>
      <c r="D326" s="28"/>
      <c r="E326" s="23"/>
      <c r="F326" s="23"/>
      <c r="G326" s="28"/>
      <c r="H326" s="28"/>
      <c r="I326" s="28"/>
      <c r="J326" s="28"/>
      <c r="K326" s="28"/>
      <c r="L326" s="28"/>
      <c r="M326" s="28"/>
      <c r="N326" s="28"/>
      <c r="O326" s="28"/>
      <c r="P326" s="28"/>
      <c r="Q326" s="28"/>
      <c r="R326" s="28"/>
      <c r="S326" s="28"/>
      <c r="T326" s="28"/>
      <c r="U326" s="28"/>
      <c r="V326" s="17">
        <f>IF($B326="","",COUNTIF(G326:U326,"OK"))</f>
        <v/>
      </c>
      <c r="W326" s="17">
        <f>IF($B326="","",COUNTIF(G326:U326,"NOK"))</f>
        <v/>
      </c>
      <c r="X326" s="9">
        <f>IF($B326="","",IF(V326+W326=0,"",V326/(V326+W326)))</f>
        <v/>
      </c>
      <c r="Y326" s="17">
        <f>IF(X326="","",IF(X326&gt;=Setup!$C$7,"PASS","FAIL"))</f>
        <v/>
      </c>
      <c r="Z326" s="17">
        <f>IF($B326="","",IF(W326=0,"",IF(COUNTIF(Findings!$B$6:$B$305,$A326)&gt;=W326,"OK","LOG FINDING")))</f>
        <v/>
      </c>
    </row>
    <row r="327" spans="1:26">
      <c r="A327" s="17">
        <f>IF($B327="","","A-1322")</f>
        <v/>
      </c>
      <c r="B327" s="24"/>
      <c r="C327" s="23"/>
      <c r="D327" s="28"/>
      <c r="E327" s="23"/>
      <c r="F327" s="23"/>
      <c r="G327" s="28"/>
      <c r="H327" s="28"/>
      <c r="I327" s="28"/>
      <c r="J327" s="28"/>
      <c r="K327" s="28"/>
      <c r="L327" s="28"/>
      <c r="M327" s="28"/>
      <c r="N327" s="28"/>
      <c r="O327" s="28"/>
      <c r="P327" s="28"/>
      <c r="Q327" s="28"/>
      <c r="R327" s="28"/>
      <c r="S327" s="28"/>
      <c r="T327" s="28"/>
      <c r="U327" s="28"/>
      <c r="V327" s="17">
        <f>IF($B327="","",COUNTIF(G327:U327,"OK"))</f>
        <v/>
      </c>
      <c r="W327" s="17">
        <f>IF($B327="","",COUNTIF(G327:U327,"NOK"))</f>
        <v/>
      </c>
      <c r="X327" s="9">
        <f>IF($B327="","",IF(V327+W327=0,"",V327/(V327+W327)))</f>
        <v/>
      </c>
      <c r="Y327" s="17">
        <f>IF(X327="","",IF(X327&gt;=Setup!$C$7,"PASS","FAIL"))</f>
        <v/>
      </c>
      <c r="Z327" s="17">
        <f>IF($B327="","",IF(W327=0,"",IF(COUNTIF(Findings!$B$6:$B$305,$A327)&gt;=W327,"OK","LOG FINDING")))</f>
        <v/>
      </c>
    </row>
    <row r="328" spans="1:26">
      <c r="A328" s="17">
        <f>IF($B328="","","A-1323")</f>
        <v/>
      </c>
      <c r="B328" s="24"/>
      <c r="C328" s="23"/>
      <c r="D328" s="28"/>
      <c r="E328" s="23"/>
      <c r="F328" s="23"/>
      <c r="G328" s="28"/>
      <c r="H328" s="28"/>
      <c r="I328" s="28"/>
      <c r="J328" s="28"/>
      <c r="K328" s="28"/>
      <c r="L328" s="28"/>
      <c r="M328" s="28"/>
      <c r="N328" s="28"/>
      <c r="O328" s="28"/>
      <c r="P328" s="28"/>
      <c r="Q328" s="28"/>
      <c r="R328" s="28"/>
      <c r="S328" s="28"/>
      <c r="T328" s="28"/>
      <c r="U328" s="28"/>
      <c r="V328" s="17">
        <f>IF($B328="","",COUNTIF(G328:U328,"OK"))</f>
        <v/>
      </c>
      <c r="W328" s="17">
        <f>IF($B328="","",COUNTIF(G328:U328,"NOK"))</f>
        <v/>
      </c>
      <c r="X328" s="9">
        <f>IF($B328="","",IF(V328+W328=0,"",V328/(V328+W328)))</f>
        <v/>
      </c>
      <c r="Y328" s="17">
        <f>IF(X328="","",IF(X328&gt;=Setup!$C$7,"PASS","FAIL"))</f>
        <v/>
      </c>
      <c r="Z328" s="17">
        <f>IF($B328="","",IF(W328=0,"",IF(COUNTIF(Findings!$B$6:$B$305,$A328)&gt;=W328,"OK","LOG FINDING")))</f>
        <v/>
      </c>
    </row>
    <row r="329" spans="1:26">
      <c r="A329" s="17">
        <f>IF($B329="","","A-1324")</f>
        <v/>
      </c>
      <c r="B329" s="24"/>
      <c r="C329" s="23"/>
      <c r="D329" s="28"/>
      <c r="E329" s="23"/>
      <c r="F329" s="23"/>
      <c r="G329" s="28"/>
      <c r="H329" s="28"/>
      <c r="I329" s="28"/>
      <c r="J329" s="28"/>
      <c r="K329" s="28"/>
      <c r="L329" s="28"/>
      <c r="M329" s="28"/>
      <c r="N329" s="28"/>
      <c r="O329" s="28"/>
      <c r="P329" s="28"/>
      <c r="Q329" s="28"/>
      <c r="R329" s="28"/>
      <c r="S329" s="28"/>
      <c r="T329" s="28"/>
      <c r="U329" s="28"/>
      <c r="V329" s="17">
        <f>IF($B329="","",COUNTIF(G329:U329,"OK"))</f>
        <v/>
      </c>
      <c r="W329" s="17">
        <f>IF($B329="","",COUNTIF(G329:U329,"NOK"))</f>
        <v/>
      </c>
      <c r="X329" s="9">
        <f>IF($B329="","",IF(V329+W329=0,"",V329/(V329+W329)))</f>
        <v/>
      </c>
      <c r="Y329" s="17">
        <f>IF(X329="","",IF(X329&gt;=Setup!$C$7,"PASS","FAIL"))</f>
        <v/>
      </c>
      <c r="Z329" s="17">
        <f>IF($B329="","",IF(W329=0,"",IF(COUNTIF(Findings!$B$6:$B$305,$A329)&gt;=W329,"OK","LOG FINDING")))</f>
        <v/>
      </c>
    </row>
    <row r="330" spans="1:26">
      <c r="A330" s="17">
        <f>IF($B330="","","A-1325")</f>
        <v/>
      </c>
      <c r="B330" s="24"/>
      <c r="C330" s="23"/>
      <c r="D330" s="28"/>
      <c r="E330" s="23"/>
      <c r="F330" s="23"/>
      <c r="G330" s="28"/>
      <c r="H330" s="28"/>
      <c r="I330" s="28"/>
      <c r="J330" s="28"/>
      <c r="K330" s="28"/>
      <c r="L330" s="28"/>
      <c r="M330" s="28"/>
      <c r="N330" s="28"/>
      <c r="O330" s="28"/>
      <c r="P330" s="28"/>
      <c r="Q330" s="28"/>
      <c r="R330" s="28"/>
      <c r="S330" s="28"/>
      <c r="T330" s="28"/>
      <c r="U330" s="28"/>
      <c r="V330" s="17">
        <f>IF($B330="","",COUNTIF(G330:U330,"OK"))</f>
        <v/>
      </c>
      <c r="W330" s="17">
        <f>IF($B330="","",COUNTIF(G330:U330,"NOK"))</f>
        <v/>
      </c>
      <c r="X330" s="9">
        <f>IF($B330="","",IF(V330+W330=0,"",V330/(V330+W330)))</f>
        <v/>
      </c>
      <c r="Y330" s="17">
        <f>IF(X330="","",IF(X330&gt;=Setup!$C$7,"PASS","FAIL"))</f>
        <v/>
      </c>
      <c r="Z330" s="17">
        <f>IF($B330="","",IF(W330=0,"",IF(COUNTIF(Findings!$B$6:$B$305,$A330)&gt;=W330,"OK","LOG FINDING")))</f>
        <v/>
      </c>
    </row>
    <row r="331" spans="1:26">
      <c r="A331" s="17">
        <f>IF($B331="","","A-1326")</f>
        <v/>
      </c>
      <c r="B331" s="24"/>
      <c r="C331" s="23"/>
      <c r="D331" s="28"/>
      <c r="E331" s="23"/>
      <c r="F331" s="23"/>
      <c r="G331" s="28"/>
      <c r="H331" s="28"/>
      <c r="I331" s="28"/>
      <c r="J331" s="28"/>
      <c r="K331" s="28"/>
      <c r="L331" s="28"/>
      <c r="M331" s="28"/>
      <c r="N331" s="28"/>
      <c r="O331" s="28"/>
      <c r="P331" s="28"/>
      <c r="Q331" s="28"/>
      <c r="R331" s="28"/>
      <c r="S331" s="28"/>
      <c r="T331" s="28"/>
      <c r="U331" s="28"/>
      <c r="V331" s="17">
        <f>IF($B331="","",COUNTIF(G331:U331,"OK"))</f>
        <v/>
      </c>
      <c r="W331" s="17">
        <f>IF($B331="","",COUNTIF(G331:U331,"NOK"))</f>
        <v/>
      </c>
      <c r="X331" s="9">
        <f>IF($B331="","",IF(V331+W331=0,"",V331/(V331+W331)))</f>
        <v/>
      </c>
      <c r="Y331" s="17">
        <f>IF(X331="","",IF(X331&gt;=Setup!$C$7,"PASS","FAIL"))</f>
        <v/>
      </c>
      <c r="Z331" s="17">
        <f>IF($B331="","",IF(W331=0,"",IF(COUNTIF(Findings!$B$6:$B$305,$A331)&gt;=W331,"OK","LOG FINDING")))</f>
        <v/>
      </c>
    </row>
    <row r="332" spans="1:26">
      <c r="A332" s="17">
        <f>IF($B332="","","A-1327")</f>
        <v/>
      </c>
      <c r="B332" s="24"/>
      <c r="C332" s="23"/>
      <c r="D332" s="28"/>
      <c r="E332" s="23"/>
      <c r="F332" s="23"/>
      <c r="G332" s="28"/>
      <c r="H332" s="28"/>
      <c r="I332" s="28"/>
      <c r="J332" s="28"/>
      <c r="K332" s="28"/>
      <c r="L332" s="28"/>
      <c r="M332" s="28"/>
      <c r="N332" s="28"/>
      <c r="O332" s="28"/>
      <c r="P332" s="28"/>
      <c r="Q332" s="28"/>
      <c r="R332" s="28"/>
      <c r="S332" s="28"/>
      <c r="T332" s="28"/>
      <c r="U332" s="28"/>
      <c r="V332" s="17">
        <f>IF($B332="","",COUNTIF(G332:U332,"OK"))</f>
        <v/>
      </c>
      <c r="W332" s="17">
        <f>IF($B332="","",COUNTIF(G332:U332,"NOK"))</f>
        <v/>
      </c>
      <c r="X332" s="9">
        <f>IF($B332="","",IF(V332+W332=0,"",V332/(V332+W332)))</f>
        <v/>
      </c>
      <c r="Y332" s="17">
        <f>IF(X332="","",IF(X332&gt;=Setup!$C$7,"PASS","FAIL"))</f>
        <v/>
      </c>
      <c r="Z332" s="17">
        <f>IF($B332="","",IF(W332=0,"",IF(COUNTIF(Findings!$B$6:$B$305,$A332)&gt;=W332,"OK","LOG FINDING")))</f>
        <v/>
      </c>
    </row>
    <row r="333" spans="1:26">
      <c r="A333" s="17">
        <f>IF($B333="","","A-1328")</f>
        <v/>
      </c>
      <c r="B333" s="24"/>
      <c r="C333" s="23"/>
      <c r="D333" s="28"/>
      <c r="E333" s="23"/>
      <c r="F333" s="23"/>
      <c r="G333" s="28"/>
      <c r="H333" s="28"/>
      <c r="I333" s="28"/>
      <c r="J333" s="28"/>
      <c r="K333" s="28"/>
      <c r="L333" s="28"/>
      <c r="M333" s="28"/>
      <c r="N333" s="28"/>
      <c r="O333" s="28"/>
      <c r="P333" s="28"/>
      <c r="Q333" s="28"/>
      <c r="R333" s="28"/>
      <c r="S333" s="28"/>
      <c r="T333" s="28"/>
      <c r="U333" s="28"/>
      <c r="V333" s="17">
        <f>IF($B333="","",COUNTIF(G333:U333,"OK"))</f>
        <v/>
      </c>
      <c r="W333" s="17">
        <f>IF($B333="","",COUNTIF(G333:U333,"NOK"))</f>
        <v/>
      </c>
      <c r="X333" s="9">
        <f>IF($B333="","",IF(V333+W333=0,"",V333/(V333+W333)))</f>
        <v/>
      </c>
      <c r="Y333" s="17">
        <f>IF(X333="","",IF(X333&gt;=Setup!$C$7,"PASS","FAIL"))</f>
        <v/>
      </c>
      <c r="Z333" s="17">
        <f>IF($B333="","",IF(W333=0,"",IF(COUNTIF(Findings!$B$6:$B$305,$A333)&gt;=W333,"OK","LOG FINDING")))</f>
        <v/>
      </c>
    </row>
    <row r="334" spans="1:26">
      <c r="A334" s="17">
        <f>IF($B334="","","A-1329")</f>
        <v/>
      </c>
      <c r="B334" s="24"/>
      <c r="C334" s="23"/>
      <c r="D334" s="28"/>
      <c r="E334" s="23"/>
      <c r="F334" s="23"/>
      <c r="G334" s="28"/>
      <c r="H334" s="28"/>
      <c r="I334" s="28"/>
      <c r="J334" s="28"/>
      <c r="K334" s="28"/>
      <c r="L334" s="28"/>
      <c r="M334" s="28"/>
      <c r="N334" s="28"/>
      <c r="O334" s="28"/>
      <c r="P334" s="28"/>
      <c r="Q334" s="28"/>
      <c r="R334" s="28"/>
      <c r="S334" s="28"/>
      <c r="T334" s="28"/>
      <c r="U334" s="28"/>
      <c r="V334" s="17">
        <f>IF($B334="","",COUNTIF(G334:U334,"OK"))</f>
        <v/>
      </c>
      <c r="W334" s="17">
        <f>IF($B334="","",COUNTIF(G334:U334,"NOK"))</f>
        <v/>
      </c>
      <c r="X334" s="9">
        <f>IF($B334="","",IF(V334+W334=0,"",V334/(V334+W334)))</f>
        <v/>
      </c>
      <c r="Y334" s="17">
        <f>IF(X334="","",IF(X334&gt;=Setup!$C$7,"PASS","FAIL"))</f>
        <v/>
      </c>
      <c r="Z334" s="17">
        <f>IF($B334="","",IF(W334=0,"",IF(COUNTIF(Findings!$B$6:$B$305,$A334)&gt;=W334,"OK","LOG FINDING")))</f>
        <v/>
      </c>
    </row>
    <row r="335" spans="1:26">
      <c r="A335" s="17">
        <f>IF($B335="","","A-1330")</f>
        <v/>
      </c>
      <c r="B335" s="24"/>
      <c r="C335" s="23"/>
      <c r="D335" s="28"/>
      <c r="E335" s="23"/>
      <c r="F335" s="23"/>
      <c r="G335" s="28"/>
      <c r="H335" s="28"/>
      <c r="I335" s="28"/>
      <c r="J335" s="28"/>
      <c r="K335" s="28"/>
      <c r="L335" s="28"/>
      <c r="M335" s="28"/>
      <c r="N335" s="28"/>
      <c r="O335" s="28"/>
      <c r="P335" s="28"/>
      <c r="Q335" s="28"/>
      <c r="R335" s="28"/>
      <c r="S335" s="28"/>
      <c r="T335" s="28"/>
      <c r="U335" s="28"/>
      <c r="V335" s="17">
        <f>IF($B335="","",COUNTIF(G335:U335,"OK"))</f>
        <v/>
      </c>
      <c r="W335" s="17">
        <f>IF($B335="","",COUNTIF(G335:U335,"NOK"))</f>
        <v/>
      </c>
      <c r="X335" s="9">
        <f>IF($B335="","",IF(V335+W335=0,"",V335/(V335+W335)))</f>
        <v/>
      </c>
      <c r="Y335" s="17">
        <f>IF(X335="","",IF(X335&gt;=Setup!$C$7,"PASS","FAIL"))</f>
        <v/>
      </c>
      <c r="Z335" s="17">
        <f>IF($B335="","",IF(W335=0,"",IF(COUNTIF(Findings!$B$6:$B$305,$A335)&gt;=W335,"OK","LOG FINDING")))</f>
        <v/>
      </c>
    </row>
    <row r="336" spans="1:26">
      <c r="A336" s="17">
        <f>IF($B336="","","A-1331")</f>
        <v/>
      </c>
      <c r="B336" s="24"/>
      <c r="C336" s="23"/>
      <c r="D336" s="28"/>
      <c r="E336" s="23"/>
      <c r="F336" s="23"/>
      <c r="G336" s="28"/>
      <c r="H336" s="28"/>
      <c r="I336" s="28"/>
      <c r="J336" s="28"/>
      <c r="K336" s="28"/>
      <c r="L336" s="28"/>
      <c r="M336" s="28"/>
      <c r="N336" s="28"/>
      <c r="O336" s="28"/>
      <c r="P336" s="28"/>
      <c r="Q336" s="28"/>
      <c r="R336" s="28"/>
      <c r="S336" s="28"/>
      <c r="T336" s="28"/>
      <c r="U336" s="28"/>
      <c r="V336" s="17">
        <f>IF($B336="","",COUNTIF(G336:U336,"OK"))</f>
        <v/>
      </c>
      <c r="W336" s="17">
        <f>IF($B336="","",COUNTIF(G336:U336,"NOK"))</f>
        <v/>
      </c>
      <c r="X336" s="9">
        <f>IF($B336="","",IF(V336+W336=0,"",V336/(V336+W336)))</f>
        <v/>
      </c>
      <c r="Y336" s="17">
        <f>IF(X336="","",IF(X336&gt;=Setup!$C$7,"PASS","FAIL"))</f>
        <v/>
      </c>
      <c r="Z336" s="17">
        <f>IF($B336="","",IF(W336=0,"",IF(COUNTIF(Findings!$B$6:$B$305,$A336)&gt;=W336,"OK","LOG FINDING")))</f>
        <v/>
      </c>
    </row>
    <row r="337" spans="1:26">
      <c r="A337" s="17">
        <f>IF($B337="","","A-1332")</f>
        <v/>
      </c>
      <c r="B337" s="24"/>
      <c r="C337" s="23"/>
      <c r="D337" s="28"/>
      <c r="E337" s="23"/>
      <c r="F337" s="23"/>
      <c r="G337" s="28"/>
      <c r="H337" s="28"/>
      <c r="I337" s="28"/>
      <c r="J337" s="28"/>
      <c r="K337" s="28"/>
      <c r="L337" s="28"/>
      <c r="M337" s="28"/>
      <c r="N337" s="28"/>
      <c r="O337" s="28"/>
      <c r="P337" s="28"/>
      <c r="Q337" s="28"/>
      <c r="R337" s="28"/>
      <c r="S337" s="28"/>
      <c r="T337" s="28"/>
      <c r="U337" s="28"/>
      <c r="V337" s="17">
        <f>IF($B337="","",COUNTIF(G337:U337,"OK"))</f>
        <v/>
      </c>
      <c r="W337" s="17">
        <f>IF($B337="","",COUNTIF(G337:U337,"NOK"))</f>
        <v/>
      </c>
      <c r="X337" s="9">
        <f>IF($B337="","",IF(V337+W337=0,"",V337/(V337+W337)))</f>
        <v/>
      </c>
      <c r="Y337" s="17">
        <f>IF(X337="","",IF(X337&gt;=Setup!$C$7,"PASS","FAIL"))</f>
        <v/>
      </c>
      <c r="Z337" s="17">
        <f>IF($B337="","",IF(W337=0,"",IF(COUNTIF(Findings!$B$6:$B$305,$A337)&gt;=W337,"OK","LOG FINDING")))</f>
        <v/>
      </c>
    </row>
    <row r="338" spans="1:26">
      <c r="A338" s="17">
        <f>IF($B338="","","A-1333")</f>
        <v/>
      </c>
      <c r="B338" s="24"/>
      <c r="C338" s="23"/>
      <c r="D338" s="28"/>
      <c r="E338" s="23"/>
      <c r="F338" s="23"/>
      <c r="G338" s="28"/>
      <c r="H338" s="28"/>
      <c r="I338" s="28"/>
      <c r="J338" s="28"/>
      <c r="K338" s="28"/>
      <c r="L338" s="28"/>
      <c r="M338" s="28"/>
      <c r="N338" s="28"/>
      <c r="O338" s="28"/>
      <c r="P338" s="28"/>
      <c r="Q338" s="28"/>
      <c r="R338" s="28"/>
      <c r="S338" s="28"/>
      <c r="T338" s="28"/>
      <c r="U338" s="28"/>
      <c r="V338" s="17">
        <f>IF($B338="","",COUNTIF(G338:U338,"OK"))</f>
        <v/>
      </c>
      <c r="W338" s="17">
        <f>IF($B338="","",COUNTIF(G338:U338,"NOK"))</f>
        <v/>
      </c>
      <c r="X338" s="9">
        <f>IF($B338="","",IF(V338+W338=0,"",V338/(V338+W338)))</f>
        <v/>
      </c>
      <c r="Y338" s="17">
        <f>IF(X338="","",IF(X338&gt;=Setup!$C$7,"PASS","FAIL"))</f>
        <v/>
      </c>
      <c r="Z338" s="17">
        <f>IF($B338="","",IF(W338=0,"",IF(COUNTIF(Findings!$B$6:$B$305,$A338)&gt;=W338,"OK","LOG FINDING")))</f>
        <v/>
      </c>
    </row>
    <row r="339" spans="1:26">
      <c r="A339" s="17">
        <f>IF($B339="","","A-1334")</f>
        <v/>
      </c>
      <c r="B339" s="24"/>
      <c r="C339" s="23"/>
      <c r="D339" s="28"/>
      <c r="E339" s="23"/>
      <c r="F339" s="23"/>
      <c r="G339" s="28"/>
      <c r="H339" s="28"/>
      <c r="I339" s="28"/>
      <c r="J339" s="28"/>
      <c r="K339" s="28"/>
      <c r="L339" s="28"/>
      <c r="M339" s="28"/>
      <c r="N339" s="28"/>
      <c r="O339" s="28"/>
      <c r="P339" s="28"/>
      <c r="Q339" s="28"/>
      <c r="R339" s="28"/>
      <c r="S339" s="28"/>
      <c r="T339" s="28"/>
      <c r="U339" s="28"/>
      <c r="V339" s="17">
        <f>IF($B339="","",COUNTIF(G339:U339,"OK"))</f>
        <v/>
      </c>
      <c r="W339" s="17">
        <f>IF($B339="","",COUNTIF(G339:U339,"NOK"))</f>
        <v/>
      </c>
      <c r="X339" s="9">
        <f>IF($B339="","",IF(V339+W339=0,"",V339/(V339+W339)))</f>
        <v/>
      </c>
      <c r="Y339" s="17">
        <f>IF(X339="","",IF(X339&gt;=Setup!$C$7,"PASS","FAIL"))</f>
        <v/>
      </c>
      <c r="Z339" s="17">
        <f>IF($B339="","",IF(W339=0,"",IF(COUNTIF(Findings!$B$6:$B$305,$A339)&gt;=W339,"OK","LOG FINDING")))</f>
        <v/>
      </c>
    </row>
    <row r="340" spans="1:26">
      <c r="A340" s="17">
        <f>IF($B340="","","A-1335")</f>
        <v/>
      </c>
      <c r="B340" s="24"/>
      <c r="C340" s="23"/>
      <c r="D340" s="28"/>
      <c r="E340" s="23"/>
      <c r="F340" s="23"/>
      <c r="G340" s="28"/>
      <c r="H340" s="28"/>
      <c r="I340" s="28"/>
      <c r="J340" s="28"/>
      <c r="K340" s="28"/>
      <c r="L340" s="28"/>
      <c r="M340" s="28"/>
      <c r="N340" s="28"/>
      <c r="O340" s="28"/>
      <c r="P340" s="28"/>
      <c r="Q340" s="28"/>
      <c r="R340" s="28"/>
      <c r="S340" s="28"/>
      <c r="T340" s="28"/>
      <c r="U340" s="28"/>
      <c r="V340" s="17">
        <f>IF($B340="","",COUNTIF(G340:U340,"OK"))</f>
        <v/>
      </c>
      <c r="W340" s="17">
        <f>IF($B340="","",COUNTIF(G340:U340,"NOK"))</f>
        <v/>
      </c>
      <c r="X340" s="9">
        <f>IF($B340="","",IF(V340+W340=0,"",V340/(V340+W340)))</f>
        <v/>
      </c>
      <c r="Y340" s="17">
        <f>IF(X340="","",IF(X340&gt;=Setup!$C$7,"PASS","FAIL"))</f>
        <v/>
      </c>
      <c r="Z340" s="17">
        <f>IF($B340="","",IF(W340=0,"",IF(COUNTIF(Findings!$B$6:$B$305,$A340)&gt;=W340,"OK","LOG FINDING")))</f>
        <v/>
      </c>
    </row>
    <row r="341" spans="1:26">
      <c r="A341" s="17">
        <f>IF($B341="","","A-1336")</f>
        <v/>
      </c>
      <c r="B341" s="24"/>
      <c r="C341" s="23"/>
      <c r="D341" s="28"/>
      <c r="E341" s="23"/>
      <c r="F341" s="23"/>
      <c r="G341" s="28"/>
      <c r="H341" s="28"/>
      <c r="I341" s="28"/>
      <c r="J341" s="28"/>
      <c r="K341" s="28"/>
      <c r="L341" s="28"/>
      <c r="M341" s="28"/>
      <c r="N341" s="28"/>
      <c r="O341" s="28"/>
      <c r="P341" s="28"/>
      <c r="Q341" s="28"/>
      <c r="R341" s="28"/>
      <c r="S341" s="28"/>
      <c r="T341" s="28"/>
      <c r="U341" s="28"/>
      <c r="V341" s="17">
        <f>IF($B341="","",COUNTIF(G341:U341,"OK"))</f>
        <v/>
      </c>
      <c r="W341" s="17">
        <f>IF($B341="","",COUNTIF(G341:U341,"NOK"))</f>
        <v/>
      </c>
      <c r="X341" s="9">
        <f>IF($B341="","",IF(V341+W341=0,"",V341/(V341+W341)))</f>
        <v/>
      </c>
      <c r="Y341" s="17">
        <f>IF(X341="","",IF(X341&gt;=Setup!$C$7,"PASS","FAIL"))</f>
        <v/>
      </c>
      <c r="Z341" s="17">
        <f>IF($B341="","",IF(W341=0,"",IF(COUNTIF(Findings!$B$6:$B$305,$A341)&gt;=W341,"OK","LOG FINDING")))</f>
        <v/>
      </c>
    </row>
    <row r="342" spans="1:26">
      <c r="A342" s="17">
        <f>IF($B342="","","A-1337")</f>
        <v/>
      </c>
      <c r="B342" s="24"/>
      <c r="C342" s="23"/>
      <c r="D342" s="28"/>
      <c r="E342" s="23"/>
      <c r="F342" s="23"/>
      <c r="G342" s="28"/>
      <c r="H342" s="28"/>
      <c r="I342" s="28"/>
      <c r="J342" s="28"/>
      <c r="K342" s="28"/>
      <c r="L342" s="28"/>
      <c r="M342" s="28"/>
      <c r="N342" s="28"/>
      <c r="O342" s="28"/>
      <c r="P342" s="28"/>
      <c r="Q342" s="28"/>
      <c r="R342" s="28"/>
      <c r="S342" s="28"/>
      <c r="T342" s="28"/>
      <c r="U342" s="28"/>
      <c r="V342" s="17">
        <f>IF($B342="","",COUNTIF(G342:U342,"OK"))</f>
        <v/>
      </c>
      <c r="W342" s="17">
        <f>IF($B342="","",COUNTIF(G342:U342,"NOK"))</f>
        <v/>
      </c>
      <c r="X342" s="9">
        <f>IF($B342="","",IF(V342+W342=0,"",V342/(V342+W342)))</f>
        <v/>
      </c>
      <c r="Y342" s="17">
        <f>IF(X342="","",IF(X342&gt;=Setup!$C$7,"PASS","FAIL"))</f>
        <v/>
      </c>
      <c r="Z342" s="17">
        <f>IF($B342="","",IF(W342=0,"",IF(COUNTIF(Findings!$B$6:$B$305,$A342)&gt;=W342,"OK","LOG FINDING")))</f>
        <v/>
      </c>
    </row>
    <row r="343" spans="1:26">
      <c r="A343" s="17">
        <f>IF($B343="","","A-1338")</f>
        <v/>
      </c>
      <c r="B343" s="24"/>
      <c r="C343" s="23"/>
      <c r="D343" s="28"/>
      <c r="E343" s="23"/>
      <c r="F343" s="23"/>
      <c r="G343" s="28"/>
      <c r="H343" s="28"/>
      <c r="I343" s="28"/>
      <c r="J343" s="28"/>
      <c r="K343" s="28"/>
      <c r="L343" s="28"/>
      <c r="M343" s="28"/>
      <c r="N343" s="28"/>
      <c r="O343" s="28"/>
      <c r="P343" s="28"/>
      <c r="Q343" s="28"/>
      <c r="R343" s="28"/>
      <c r="S343" s="28"/>
      <c r="T343" s="28"/>
      <c r="U343" s="28"/>
      <c r="V343" s="17">
        <f>IF($B343="","",COUNTIF(G343:U343,"OK"))</f>
        <v/>
      </c>
      <c r="W343" s="17">
        <f>IF($B343="","",COUNTIF(G343:U343,"NOK"))</f>
        <v/>
      </c>
      <c r="X343" s="9">
        <f>IF($B343="","",IF(V343+W343=0,"",V343/(V343+W343)))</f>
        <v/>
      </c>
      <c r="Y343" s="17">
        <f>IF(X343="","",IF(X343&gt;=Setup!$C$7,"PASS","FAIL"))</f>
        <v/>
      </c>
      <c r="Z343" s="17">
        <f>IF($B343="","",IF(W343=0,"",IF(COUNTIF(Findings!$B$6:$B$305,$A343)&gt;=W343,"OK","LOG FINDING")))</f>
        <v/>
      </c>
    </row>
    <row r="344" spans="1:26">
      <c r="A344" s="17">
        <f>IF($B344="","","A-1339")</f>
        <v/>
      </c>
      <c r="B344" s="24"/>
      <c r="C344" s="23"/>
      <c r="D344" s="28"/>
      <c r="E344" s="23"/>
      <c r="F344" s="23"/>
      <c r="G344" s="28"/>
      <c r="H344" s="28"/>
      <c r="I344" s="28"/>
      <c r="J344" s="28"/>
      <c r="K344" s="28"/>
      <c r="L344" s="28"/>
      <c r="M344" s="28"/>
      <c r="N344" s="28"/>
      <c r="O344" s="28"/>
      <c r="P344" s="28"/>
      <c r="Q344" s="28"/>
      <c r="R344" s="28"/>
      <c r="S344" s="28"/>
      <c r="T344" s="28"/>
      <c r="U344" s="28"/>
      <c r="V344" s="17">
        <f>IF($B344="","",COUNTIF(G344:U344,"OK"))</f>
        <v/>
      </c>
      <c r="W344" s="17">
        <f>IF($B344="","",COUNTIF(G344:U344,"NOK"))</f>
        <v/>
      </c>
      <c r="X344" s="9">
        <f>IF($B344="","",IF(V344+W344=0,"",V344/(V344+W344)))</f>
        <v/>
      </c>
      <c r="Y344" s="17">
        <f>IF(X344="","",IF(X344&gt;=Setup!$C$7,"PASS","FAIL"))</f>
        <v/>
      </c>
      <c r="Z344" s="17">
        <f>IF($B344="","",IF(W344=0,"",IF(COUNTIF(Findings!$B$6:$B$305,$A344)&gt;=W344,"OK","LOG FINDING")))</f>
        <v/>
      </c>
    </row>
    <row r="345" spans="1:26">
      <c r="A345" s="17">
        <f>IF($B345="","","A-1340")</f>
        <v/>
      </c>
      <c r="B345" s="24"/>
      <c r="C345" s="23"/>
      <c r="D345" s="28"/>
      <c r="E345" s="23"/>
      <c r="F345" s="23"/>
      <c r="G345" s="28"/>
      <c r="H345" s="28"/>
      <c r="I345" s="28"/>
      <c r="J345" s="28"/>
      <c r="K345" s="28"/>
      <c r="L345" s="28"/>
      <c r="M345" s="28"/>
      <c r="N345" s="28"/>
      <c r="O345" s="28"/>
      <c r="P345" s="28"/>
      <c r="Q345" s="28"/>
      <c r="R345" s="28"/>
      <c r="S345" s="28"/>
      <c r="T345" s="28"/>
      <c r="U345" s="28"/>
      <c r="V345" s="17">
        <f>IF($B345="","",COUNTIF(G345:U345,"OK"))</f>
        <v/>
      </c>
      <c r="W345" s="17">
        <f>IF($B345="","",COUNTIF(G345:U345,"NOK"))</f>
        <v/>
      </c>
      <c r="X345" s="9">
        <f>IF($B345="","",IF(V345+W345=0,"",V345/(V345+W345)))</f>
        <v/>
      </c>
      <c r="Y345" s="17">
        <f>IF(X345="","",IF(X345&gt;=Setup!$C$7,"PASS","FAIL"))</f>
        <v/>
      </c>
      <c r="Z345" s="17">
        <f>IF($B345="","",IF(W345=0,"",IF(COUNTIF(Findings!$B$6:$B$305,$A345)&gt;=W345,"OK","LOG FINDING")))</f>
        <v/>
      </c>
    </row>
    <row r="346" spans="1:26">
      <c r="A346" s="17">
        <f>IF($B346="","","A-1341")</f>
        <v/>
      </c>
      <c r="B346" s="24"/>
      <c r="C346" s="23"/>
      <c r="D346" s="28"/>
      <c r="E346" s="23"/>
      <c r="F346" s="23"/>
      <c r="G346" s="28"/>
      <c r="H346" s="28"/>
      <c r="I346" s="28"/>
      <c r="J346" s="28"/>
      <c r="K346" s="28"/>
      <c r="L346" s="28"/>
      <c r="M346" s="28"/>
      <c r="N346" s="28"/>
      <c r="O346" s="28"/>
      <c r="P346" s="28"/>
      <c r="Q346" s="28"/>
      <c r="R346" s="28"/>
      <c r="S346" s="28"/>
      <c r="T346" s="28"/>
      <c r="U346" s="28"/>
      <c r="V346" s="17">
        <f>IF($B346="","",COUNTIF(G346:U346,"OK"))</f>
        <v/>
      </c>
      <c r="W346" s="17">
        <f>IF($B346="","",COUNTIF(G346:U346,"NOK"))</f>
        <v/>
      </c>
      <c r="X346" s="9">
        <f>IF($B346="","",IF(V346+W346=0,"",V346/(V346+W346)))</f>
        <v/>
      </c>
      <c r="Y346" s="17">
        <f>IF(X346="","",IF(X346&gt;=Setup!$C$7,"PASS","FAIL"))</f>
        <v/>
      </c>
      <c r="Z346" s="17">
        <f>IF($B346="","",IF(W346=0,"",IF(COUNTIF(Findings!$B$6:$B$305,$A346)&gt;=W346,"OK","LOG FINDING")))</f>
        <v/>
      </c>
    </row>
    <row r="347" spans="1:26">
      <c r="A347" s="17">
        <f>IF($B347="","","A-1342")</f>
        <v/>
      </c>
      <c r="B347" s="24"/>
      <c r="C347" s="23"/>
      <c r="D347" s="28"/>
      <c r="E347" s="23"/>
      <c r="F347" s="23"/>
      <c r="G347" s="28"/>
      <c r="H347" s="28"/>
      <c r="I347" s="28"/>
      <c r="J347" s="28"/>
      <c r="K347" s="28"/>
      <c r="L347" s="28"/>
      <c r="M347" s="28"/>
      <c r="N347" s="28"/>
      <c r="O347" s="28"/>
      <c r="P347" s="28"/>
      <c r="Q347" s="28"/>
      <c r="R347" s="28"/>
      <c r="S347" s="28"/>
      <c r="T347" s="28"/>
      <c r="U347" s="28"/>
      <c r="V347" s="17">
        <f>IF($B347="","",COUNTIF(G347:U347,"OK"))</f>
        <v/>
      </c>
      <c r="W347" s="17">
        <f>IF($B347="","",COUNTIF(G347:U347,"NOK"))</f>
        <v/>
      </c>
      <c r="X347" s="9">
        <f>IF($B347="","",IF(V347+W347=0,"",V347/(V347+W347)))</f>
        <v/>
      </c>
      <c r="Y347" s="17">
        <f>IF(X347="","",IF(X347&gt;=Setup!$C$7,"PASS","FAIL"))</f>
        <v/>
      </c>
      <c r="Z347" s="17">
        <f>IF($B347="","",IF(W347=0,"",IF(COUNTIF(Findings!$B$6:$B$305,$A347)&gt;=W347,"OK","LOG FINDING")))</f>
        <v/>
      </c>
    </row>
    <row r="348" spans="1:26">
      <c r="A348" s="17">
        <f>IF($B348="","","A-1343")</f>
        <v/>
      </c>
      <c r="B348" s="24"/>
      <c r="C348" s="23"/>
      <c r="D348" s="28"/>
      <c r="E348" s="23"/>
      <c r="F348" s="23"/>
      <c r="G348" s="28"/>
      <c r="H348" s="28"/>
      <c r="I348" s="28"/>
      <c r="J348" s="28"/>
      <c r="K348" s="28"/>
      <c r="L348" s="28"/>
      <c r="M348" s="28"/>
      <c r="N348" s="28"/>
      <c r="O348" s="28"/>
      <c r="P348" s="28"/>
      <c r="Q348" s="28"/>
      <c r="R348" s="28"/>
      <c r="S348" s="28"/>
      <c r="T348" s="28"/>
      <c r="U348" s="28"/>
      <c r="V348" s="17">
        <f>IF($B348="","",COUNTIF(G348:U348,"OK"))</f>
        <v/>
      </c>
      <c r="W348" s="17">
        <f>IF($B348="","",COUNTIF(G348:U348,"NOK"))</f>
        <v/>
      </c>
      <c r="X348" s="9">
        <f>IF($B348="","",IF(V348+W348=0,"",V348/(V348+W348)))</f>
        <v/>
      </c>
      <c r="Y348" s="17">
        <f>IF(X348="","",IF(X348&gt;=Setup!$C$7,"PASS","FAIL"))</f>
        <v/>
      </c>
      <c r="Z348" s="17">
        <f>IF($B348="","",IF(W348=0,"",IF(COUNTIF(Findings!$B$6:$B$305,$A348)&gt;=W348,"OK","LOG FINDING")))</f>
        <v/>
      </c>
    </row>
    <row r="349" spans="1:26">
      <c r="A349" s="17">
        <f>IF($B349="","","A-1344")</f>
        <v/>
      </c>
      <c r="B349" s="24"/>
      <c r="C349" s="23"/>
      <c r="D349" s="28"/>
      <c r="E349" s="23"/>
      <c r="F349" s="23"/>
      <c r="G349" s="28"/>
      <c r="H349" s="28"/>
      <c r="I349" s="28"/>
      <c r="J349" s="28"/>
      <c r="K349" s="28"/>
      <c r="L349" s="28"/>
      <c r="M349" s="28"/>
      <c r="N349" s="28"/>
      <c r="O349" s="28"/>
      <c r="P349" s="28"/>
      <c r="Q349" s="28"/>
      <c r="R349" s="28"/>
      <c r="S349" s="28"/>
      <c r="T349" s="28"/>
      <c r="U349" s="28"/>
      <c r="V349" s="17">
        <f>IF($B349="","",COUNTIF(G349:U349,"OK"))</f>
        <v/>
      </c>
      <c r="W349" s="17">
        <f>IF($B349="","",COUNTIF(G349:U349,"NOK"))</f>
        <v/>
      </c>
      <c r="X349" s="9">
        <f>IF($B349="","",IF(V349+W349=0,"",V349/(V349+W349)))</f>
        <v/>
      </c>
      <c r="Y349" s="17">
        <f>IF(X349="","",IF(X349&gt;=Setup!$C$7,"PASS","FAIL"))</f>
        <v/>
      </c>
      <c r="Z349" s="17">
        <f>IF($B349="","",IF(W349=0,"",IF(COUNTIF(Findings!$B$6:$B$305,$A349)&gt;=W349,"OK","LOG FINDING")))</f>
        <v/>
      </c>
    </row>
    <row r="350" spans="1:26">
      <c r="A350" s="17">
        <f>IF($B350="","","A-1345")</f>
        <v/>
      </c>
      <c r="B350" s="24"/>
      <c r="C350" s="23"/>
      <c r="D350" s="28"/>
      <c r="E350" s="23"/>
      <c r="F350" s="23"/>
      <c r="G350" s="28"/>
      <c r="H350" s="28"/>
      <c r="I350" s="28"/>
      <c r="J350" s="28"/>
      <c r="K350" s="28"/>
      <c r="L350" s="28"/>
      <c r="M350" s="28"/>
      <c r="N350" s="28"/>
      <c r="O350" s="28"/>
      <c r="P350" s="28"/>
      <c r="Q350" s="28"/>
      <c r="R350" s="28"/>
      <c r="S350" s="28"/>
      <c r="T350" s="28"/>
      <c r="U350" s="28"/>
      <c r="V350" s="17">
        <f>IF($B350="","",COUNTIF(G350:U350,"OK"))</f>
        <v/>
      </c>
      <c r="W350" s="17">
        <f>IF($B350="","",COUNTIF(G350:U350,"NOK"))</f>
        <v/>
      </c>
      <c r="X350" s="9">
        <f>IF($B350="","",IF(V350+W350=0,"",V350/(V350+W350)))</f>
        <v/>
      </c>
      <c r="Y350" s="17">
        <f>IF(X350="","",IF(X350&gt;=Setup!$C$7,"PASS","FAIL"))</f>
        <v/>
      </c>
      <c r="Z350" s="17">
        <f>IF($B350="","",IF(W350=0,"",IF(COUNTIF(Findings!$B$6:$B$305,$A350)&gt;=W350,"OK","LOG FINDING")))</f>
        <v/>
      </c>
    </row>
    <row r="351" spans="1:26">
      <c r="A351" s="17">
        <f>IF($B351="","","A-1346")</f>
        <v/>
      </c>
      <c r="B351" s="24"/>
      <c r="C351" s="23"/>
      <c r="D351" s="28"/>
      <c r="E351" s="23"/>
      <c r="F351" s="23"/>
      <c r="G351" s="28"/>
      <c r="H351" s="28"/>
      <c r="I351" s="28"/>
      <c r="J351" s="28"/>
      <c r="K351" s="28"/>
      <c r="L351" s="28"/>
      <c r="M351" s="28"/>
      <c r="N351" s="28"/>
      <c r="O351" s="28"/>
      <c r="P351" s="28"/>
      <c r="Q351" s="28"/>
      <c r="R351" s="28"/>
      <c r="S351" s="28"/>
      <c r="T351" s="28"/>
      <c r="U351" s="28"/>
      <c r="V351" s="17">
        <f>IF($B351="","",COUNTIF(G351:U351,"OK"))</f>
        <v/>
      </c>
      <c r="W351" s="17">
        <f>IF($B351="","",COUNTIF(G351:U351,"NOK"))</f>
        <v/>
      </c>
      <c r="X351" s="9">
        <f>IF($B351="","",IF(V351+W351=0,"",V351/(V351+W351)))</f>
        <v/>
      </c>
      <c r="Y351" s="17">
        <f>IF(X351="","",IF(X351&gt;=Setup!$C$7,"PASS","FAIL"))</f>
        <v/>
      </c>
      <c r="Z351" s="17">
        <f>IF($B351="","",IF(W351=0,"",IF(COUNTIF(Findings!$B$6:$B$305,$A351)&gt;=W351,"OK","LOG FINDING")))</f>
        <v/>
      </c>
    </row>
    <row r="352" spans="1:26">
      <c r="A352" s="17">
        <f>IF($B352="","","A-1347")</f>
        <v/>
      </c>
      <c r="B352" s="24"/>
      <c r="C352" s="23"/>
      <c r="D352" s="28"/>
      <c r="E352" s="23"/>
      <c r="F352" s="23"/>
      <c r="G352" s="28"/>
      <c r="H352" s="28"/>
      <c r="I352" s="28"/>
      <c r="J352" s="28"/>
      <c r="K352" s="28"/>
      <c r="L352" s="28"/>
      <c r="M352" s="28"/>
      <c r="N352" s="28"/>
      <c r="O352" s="28"/>
      <c r="P352" s="28"/>
      <c r="Q352" s="28"/>
      <c r="R352" s="28"/>
      <c r="S352" s="28"/>
      <c r="T352" s="28"/>
      <c r="U352" s="28"/>
      <c r="V352" s="17">
        <f>IF($B352="","",COUNTIF(G352:U352,"OK"))</f>
        <v/>
      </c>
      <c r="W352" s="17">
        <f>IF($B352="","",COUNTIF(G352:U352,"NOK"))</f>
        <v/>
      </c>
      <c r="X352" s="9">
        <f>IF($B352="","",IF(V352+W352=0,"",V352/(V352+W352)))</f>
        <v/>
      </c>
      <c r="Y352" s="17">
        <f>IF(X352="","",IF(X352&gt;=Setup!$C$7,"PASS","FAIL"))</f>
        <v/>
      </c>
      <c r="Z352" s="17">
        <f>IF($B352="","",IF(W352=0,"",IF(COUNTIF(Findings!$B$6:$B$305,$A352)&gt;=W352,"OK","LOG FINDING")))</f>
        <v/>
      </c>
    </row>
    <row r="353" spans="1:26">
      <c r="A353" s="17">
        <f>IF($B353="","","A-1348")</f>
        <v/>
      </c>
      <c r="B353" s="24"/>
      <c r="C353" s="23"/>
      <c r="D353" s="28"/>
      <c r="E353" s="23"/>
      <c r="F353" s="23"/>
      <c r="G353" s="28"/>
      <c r="H353" s="28"/>
      <c r="I353" s="28"/>
      <c r="J353" s="28"/>
      <c r="K353" s="28"/>
      <c r="L353" s="28"/>
      <c r="M353" s="28"/>
      <c r="N353" s="28"/>
      <c r="O353" s="28"/>
      <c r="P353" s="28"/>
      <c r="Q353" s="28"/>
      <c r="R353" s="28"/>
      <c r="S353" s="28"/>
      <c r="T353" s="28"/>
      <c r="U353" s="28"/>
      <c r="V353" s="17">
        <f>IF($B353="","",COUNTIF(G353:U353,"OK"))</f>
        <v/>
      </c>
      <c r="W353" s="17">
        <f>IF($B353="","",COUNTIF(G353:U353,"NOK"))</f>
        <v/>
      </c>
      <c r="X353" s="9">
        <f>IF($B353="","",IF(V353+W353=0,"",V353/(V353+W353)))</f>
        <v/>
      </c>
      <c r="Y353" s="17">
        <f>IF(X353="","",IF(X353&gt;=Setup!$C$7,"PASS","FAIL"))</f>
        <v/>
      </c>
      <c r="Z353" s="17">
        <f>IF($B353="","",IF(W353=0,"",IF(COUNTIF(Findings!$B$6:$B$305,$A353)&gt;=W353,"OK","LOG FINDING")))</f>
        <v/>
      </c>
    </row>
    <row r="354" spans="1:26">
      <c r="A354" s="17">
        <f>IF($B354="","","A-1349")</f>
        <v/>
      </c>
      <c r="B354" s="24"/>
      <c r="C354" s="23"/>
      <c r="D354" s="28"/>
      <c r="E354" s="23"/>
      <c r="F354" s="23"/>
      <c r="G354" s="28"/>
      <c r="H354" s="28"/>
      <c r="I354" s="28"/>
      <c r="J354" s="28"/>
      <c r="K354" s="28"/>
      <c r="L354" s="28"/>
      <c r="M354" s="28"/>
      <c r="N354" s="28"/>
      <c r="O354" s="28"/>
      <c r="P354" s="28"/>
      <c r="Q354" s="28"/>
      <c r="R354" s="28"/>
      <c r="S354" s="28"/>
      <c r="T354" s="28"/>
      <c r="U354" s="28"/>
      <c r="V354" s="17">
        <f>IF($B354="","",COUNTIF(G354:U354,"OK"))</f>
        <v/>
      </c>
      <c r="W354" s="17">
        <f>IF($B354="","",COUNTIF(G354:U354,"NOK"))</f>
        <v/>
      </c>
      <c r="X354" s="9">
        <f>IF($B354="","",IF(V354+W354=0,"",V354/(V354+W354)))</f>
        <v/>
      </c>
      <c r="Y354" s="17">
        <f>IF(X354="","",IF(X354&gt;=Setup!$C$7,"PASS","FAIL"))</f>
        <v/>
      </c>
      <c r="Z354" s="17">
        <f>IF($B354="","",IF(W354=0,"",IF(COUNTIF(Findings!$B$6:$B$305,$A354)&gt;=W354,"OK","LOG FINDING")))</f>
        <v/>
      </c>
    </row>
    <row r="355" spans="1:26">
      <c r="A355" s="17">
        <f>IF($B355="","","A-1350")</f>
        <v/>
      </c>
      <c r="B355" s="24"/>
      <c r="C355" s="23"/>
      <c r="D355" s="28"/>
      <c r="E355" s="23"/>
      <c r="F355" s="23"/>
      <c r="G355" s="28"/>
      <c r="H355" s="28"/>
      <c r="I355" s="28"/>
      <c r="J355" s="28"/>
      <c r="K355" s="28"/>
      <c r="L355" s="28"/>
      <c r="M355" s="28"/>
      <c r="N355" s="28"/>
      <c r="O355" s="28"/>
      <c r="P355" s="28"/>
      <c r="Q355" s="28"/>
      <c r="R355" s="28"/>
      <c r="S355" s="28"/>
      <c r="T355" s="28"/>
      <c r="U355" s="28"/>
      <c r="V355" s="17">
        <f>IF($B355="","",COUNTIF(G355:U355,"OK"))</f>
        <v/>
      </c>
      <c r="W355" s="17">
        <f>IF($B355="","",COUNTIF(G355:U355,"NOK"))</f>
        <v/>
      </c>
      <c r="X355" s="9">
        <f>IF($B355="","",IF(V355+W355=0,"",V355/(V355+W355)))</f>
        <v/>
      </c>
      <c r="Y355" s="17">
        <f>IF(X355="","",IF(X355&gt;=Setup!$C$7,"PASS","FAIL"))</f>
        <v/>
      </c>
      <c r="Z355" s="17">
        <f>IF($B355="","",IF(W355=0,"",IF(COUNTIF(Findings!$B$6:$B$305,$A355)&gt;=W355,"OK","LOG FINDING")))</f>
        <v/>
      </c>
    </row>
    <row r="356" spans="1:26">
      <c r="A356" s="17">
        <f>IF($B356="","","A-1351")</f>
        <v/>
      </c>
      <c r="B356" s="24"/>
      <c r="C356" s="23"/>
      <c r="D356" s="28"/>
      <c r="E356" s="23"/>
      <c r="F356" s="23"/>
      <c r="G356" s="28"/>
      <c r="H356" s="28"/>
      <c r="I356" s="28"/>
      <c r="J356" s="28"/>
      <c r="K356" s="28"/>
      <c r="L356" s="28"/>
      <c r="M356" s="28"/>
      <c r="N356" s="28"/>
      <c r="O356" s="28"/>
      <c r="P356" s="28"/>
      <c r="Q356" s="28"/>
      <c r="R356" s="28"/>
      <c r="S356" s="28"/>
      <c r="T356" s="28"/>
      <c r="U356" s="28"/>
      <c r="V356" s="17">
        <f>IF($B356="","",COUNTIF(G356:U356,"OK"))</f>
        <v/>
      </c>
      <c r="W356" s="17">
        <f>IF($B356="","",COUNTIF(G356:U356,"NOK"))</f>
        <v/>
      </c>
      <c r="X356" s="9">
        <f>IF($B356="","",IF(V356+W356=0,"",V356/(V356+W356)))</f>
        <v/>
      </c>
      <c r="Y356" s="17">
        <f>IF(X356="","",IF(X356&gt;=Setup!$C$7,"PASS","FAIL"))</f>
        <v/>
      </c>
      <c r="Z356" s="17">
        <f>IF($B356="","",IF(W356=0,"",IF(COUNTIF(Findings!$B$6:$B$305,$A356)&gt;=W356,"OK","LOG FINDING")))</f>
        <v/>
      </c>
    </row>
    <row r="357" spans="1:26">
      <c r="A357" s="17">
        <f>IF($B357="","","A-1352")</f>
        <v/>
      </c>
      <c r="B357" s="24"/>
      <c r="C357" s="23"/>
      <c r="D357" s="28"/>
      <c r="E357" s="23"/>
      <c r="F357" s="23"/>
      <c r="G357" s="28"/>
      <c r="H357" s="28"/>
      <c r="I357" s="28"/>
      <c r="J357" s="28"/>
      <c r="K357" s="28"/>
      <c r="L357" s="28"/>
      <c r="M357" s="28"/>
      <c r="N357" s="28"/>
      <c r="O357" s="28"/>
      <c r="P357" s="28"/>
      <c r="Q357" s="28"/>
      <c r="R357" s="28"/>
      <c r="S357" s="28"/>
      <c r="T357" s="28"/>
      <c r="U357" s="28"/>
      <c r="V357" s="17">
        <f>IF($B357="","",COUNTIF(G357:U357,"OK"))</f>
        <v/>
      </c>
      <c r="W357" s="17">
        <f>IF($B357="","",COUNTIF(G357:U357,"NOK"))</f>
        <v/>
      </c>
      <c r="X357" s="9">
        <f>IF($B357="","",IF(V357+W357=0,"",V357/(V357+W357)))</f>
        <v/>
      </c>
      <c r="Y357" s="17">
        <f>IF(X357="","",IF(X357&gt;=Setup!$C$7,"PASS","FAIL"))</f>
        <v/>
      </c>
      <c r="Z357" s="17">
        <f>IF($B357="","",IF(W357=0,"",IF(COUNTIF(Findings!$B$6:$B$305,$A357)&gt;=W357,"OK","LOG FINDING")))</f>
        <v/>
      </c>
    </row>
    <row r="358" spans="1:26">
      <c r="A358" s="17">
        <f>IF($B358="","","A-1353")</f>
        <v/>
      </c>
      <c r="B358" s="24"/>
      <c r="C358" s="23"/>
      <c r="D358" s="28"/>
      <c r="E358" s="23"/>
      <c r="F358" s="23"/>
      <c r="G358" s="28"/>
      <c r="H358" s="28"/>
      <c r="I358" s="28"/>
      <c r="J358" s="28"/>
      <c r="K358" s="28"/>
      <c r="L358" s="28"/>
      <c r="M358" s="28"/>
      <c r="N358" s="28"/>
      <c r="O358" s="28"/>
      <c r="P358" s="28"/>
      <c r="Q358" s="28"/>
      <c r="R358" s="28"/>
      <c r="S358" s="28"/>
      <c r="T358" s="28"/>
      <c r="U358" s="28"/>
      <c r="V358" s="17">
        <f>IF($B358="","",COUNTIF(G358:U358,"OK"))</f>
        <v/>
      </c>
      <c r="W358" s="17">
        <f>IF($B358="","",COUNTIF(G358:U358,"NOK"))</f>
        <v/>
      </c>
      <c r="X358" s="9">
        <f>IF($B358="","",IF(V358+W358=0,"",V358/(V358+W358)))</f>
        <v/>
      </c>
      <c r="Y358" s="17">
        <f>IF(X358="","",IF(X358&gt;=Setup!$C$7,"PASS","FAIL"))</f>
        <v/>
      </c>
      <c r="Z358" s="17">
        <f>IF($B358="","",IF(W358=0,"",IF(COUNTIF(Findings!$B$6:$B$305,$A358)&gt;=W358,"OK","LOG FINDING")))</f>
        <v/>
      </c>
    </row>
    <row r="359" spans="1:26">
      <c r="A359" s="17">
        <f>IF($B359="","","A-1354")</f>
        <v/>
      </c>
      <c r="B359" s="24"/>
      <c r="C359" s="23"/>
      <c r="D359" s="28"/>
      <c r="E359" s="23"/>
      <c r="F359" s="23"/>
      <c r="G359" s="28"/>
      <c r="H359" s="28"/>
      <c r="I359" s="28"/>
      <c r="J359" s="28"/>
      <c r="K359" s="28"/>
      <c r="L359" s="28"/>
      <c r="M359" s="28"/>
      <c r="N359" s="28"/>
      <c r="O359" s="28"/>
      <c r="P359" s="28"/>
      <c r="Q359" s="28"/>
      <c r="R359" s="28"/>
      <c r="S359" s="28"/>
      <c r="T359" s="28"/>
      <c r="U359" s="28"/>
      <c r="V359" s="17">
        <f>IF($B359="","",COUNTIF(G359:U359,"OK"))</f>
        <v/>
      </c>
      <c r="W359" s="17">
        <f>IF($B359="","",COUNTIF(G359:U359,"NOK"))</f>
        <v/>
      </c>
      <c r="X359" s="9">
        <f>IF($B359="","",IF(V359+W359=0,"",V359/(V359+W359)))</f>
        <v/>
      </c>
      <c r="Y359" s="17">
        <f>IF(X359="","",IF(X359&gt;=Setup!$C$7,"PASS","FAIL"))</f>
        <v/>
      </c>
      <c r="Z359" s="17">
        <f>IF($B359="","",IF(W359=0,"",IF(COUNTIF(Findings!$B$6:$B$305,$A359)&gt;=W359,"OK","LOG FINDING")))</f>
        <v/>
      </c>
    </row>
    <row r="360" spans="1:26">
      <c r="A360" s="17">
        <f>IF($B360="","","A-1355")</f>
        <v/>
      </c>
      <c r="B360" s="24"/>
      <c r="C360" s="23"/>
      <c r="D360" s="28"/>
      <c r="E360" s="23"/>
      <c r="F360" s="23"/>
      <c r="G360" s="28"/>
      <c r="H360" s="28"/>
      <c r="I360" s="28"/>
      <c r="J360" s="28"/>
      <c r="K360" s="28"/>
      <c r="L360" s="28"/>
      <c r="M360" s="28"/>
      <c r="N360" s="28"/>
      <c r="O360" s="28"/>
      <c r="P360" s="28"/>
      <c r="Q360" s="28"/>
      <c r="R360" s="28"/>
      <c r="S360" s="28"/>
      <c r="T360" s="28"/>
      <c r="U360" s="28"/>
      <c r="V360" s="17">
        <f>IF($B360="","",COUNTIF(G360:U360,"OK"))</f>
        <v/>
      </c>
      <c r="W360" s="17">
        <f>IF($B360="","",COUNTIF(G360:U360,"NOK"))</f>
        <v/>
      </c>
      <c r="X360" s="9">
        <f>IF($B360="","",IF(V360+W360=0,"",V360/(V360+W360)))</f>
        <v/>
      </c>
      <c r="Y360" s="17">
        <f>IF(X360="","",IF(X360&gt;=Setup!$C$7,"PASS","FAIL"))</f>
        <v/>
      </c>
      <c r="Z360" s="17">
        <f>IF($B360="","",IF(W360=0,"",IF(COUNTIF(Findings!$B$6:$B$305,$A360)&gt;=W360,"OK","LOG FINDING")))</f>
        <v/>
      </c>
    </row>
    <row r="361" spans="1:26">
      <c r="A361" s="17">
        <f>IF($B361="","","A-1356")</f>
        <v/>
      </c>
      <c r="B361" s="24"/>
      <c r="C361" s="23"/>
      <c r="D361" s="28"/>
      <c r="E361" s="23"/>
      <c r="F361" s="23"/>
      <c r="G361" s="28"/>
      <c r="H361" s="28"/>
      <c r="I361" s="28"/>
      <c r="J361" s="28"/>
      <c r="K361" s="28"/>
      <c r="L361" s="28"/>
      <c r="M361" s="28"/>
      <c r="N361" s="28"/>
      <c r="O361" s="28"/>
      <c r="P361" s="28"/>
      <c r="Q361" s="28"/>
      <c r="R361" s="28"/>
      <c r="S361" s="28"/>
      <c r="T361" s="28"/>
      <c r="U361" s="28"/>
      <c r="V361" s="17">
        <f>IF($B361="","",COUNTIF(G361:U361,"OK"))</f>
        <v/>
      </c>
      <c r="W361" s="17">
        <f>IF($B361="","",COUNTIF(G361:U361,"NOK"))</f>
        <v/>
      </c>
      <c r="X361" s="9">
        <f>IF($B361="","",IF(V361+W361=0,"",V361/(V361+W361)))</f>
        <v/>
      </c>
      <c r="Y361" s="17">
        <f>IF(X361="","",IF(X361&gt;=Setup!$C$7,"PASS","FAIL"))</f>
        <v/>
      </c>
      <c r="Z361" s="17">
        <f>IF($B361="","",IF(W361=0,"",IF(COUNTIF(Findings!$B$6:$B$305,$A361)&gt;=W361,"OK","LOG FINDING")))</f>
        <v/>
      </c>
    </row>
    <row r="362" spans="1:26">
      <c r="A362" s="17">
        <f>IF($B362="","","A-1357")</f>
        <v/>
      </c>
      <c r="B362" s="24"/>
      <c r="C362" s="23"/>
      <c r="D362" s="28"/>
      <c r="E362" s="23"/>
      <c r="F362" s="23"/>
      <c r="G362" s="28"/>
      <c r="H362" s="28"/>
      <c r="I362" s="28"/>
      <c r="J362" s="28"/>
      <c r="K362" s="28"/>
      <c r="L362" s="28"/>
      <c r="M362" s="28"/>
      <c r="N362" s="28"/>
      <c r="O362" s="28"/>
      <c r="P362" s="28"/>
      <c r="Q362" s="28"/>
      <c r="R362" s="28"/>
      <c r="S362" s="28"/>
      <c r="T362" s="28"/>
      <c r="U362" s="28"/>
      <c r="V362" s="17">
        <f>IF($B362="","",COUNTIF(G362:U362,"OK"))</f>
        <v/>
      </c>
      <c r="W362" s="17">
        <f>IF($B362="","",COUNTIF(G362:U362,"NOK"))</f>
        <v/>
      </c>
      <c r="X362" s="9">
        <f>IF($B362="","",IF(V362+W362=0,"",V362/(V362+W362)))</f>
        <v/>
      </c>
      <c r="Y362" s="17">
        <f>IF(X362="","",IF(X362&gt;=Setup!$C$7,"PASS","FAIL"))</f>
        <v/>
      </c>
      <c r="Z362" s="17">
        <f>IF($B362="","",IF(W362=0,"",IF(COUNTIF(Findings!$B$6:$B$305,$A362)&gt;=W362,"OK","LOG FINDING")))</f>
        <v/>
      </c>
    </row>
    <row r="363" spans="1:26">
      <c r="A363" s="17">
        <f>IF($B363="","","A-1358")</f>
        <v/>
      </c>
      <c r="B363" s="24"/>
      <c r="C363" s="23"/>
      <c r="D363" s="28"/>
      <c r="E363" s="23"/>
      <c r="F363" s="23"/>
      <c r="G363" s="28"/>
      <c r="H363" s="28"/>
      <c r="I363" s="28"/>
      <c r="J363" s="28"/>
      <c r="K363" s="28"/>
      <c r="L363" s="28"/>
      <c r="M363" s="28"/>
      <c r="N363" s="28"/>
      <c r="O363" s="28"/>
      <c r="P363" s="28"/>
      <c r="Q363" s="28"/>
      <c r="R363" s="28"/>
      <c r="S363" s="28"/>
      <c r="T363" s="28"/>
      <c r="U363" s="28"/>
      <c r="V363" s="17">
        <f>IF($B363="","",COUNTIF(G363:U363,"OK"))</f>
        <v/>
      </c>
      <c r="W363" s="17">
        <f>IF($B363="","",COUNTIF(G363:U363,"NOK"))</f>
        <v/>
      </c>
      <c r="X363" s="9">
        <f>IF($B363="","",IF(V363+W363=0,"",V363/(V363+W363)))</f>
        <v/>
      </c>
      <c r="Y363" s="17">
        <f>IF(X363="","",IF(X363&gt;=Setup!$C$7,"PASS","FAIL"))</f>
        <v/>
      </c>
      <c r="Z363" s="17">
        <f>IF($B363="","",IF(W363=0,"",IF(COUNTIF(Findings!$B$6:$B$305,$A363)&gt;=W363,"OK","LOG FINDING")))</f>
        <v/>
      </c>
    </row>
    <row r="364" spans="1:26">
      <c r="A364" s="17">
        <f>IF($B364="","","A-1359")</f>
        <v/>
      </c>
      <c r="B364" s="24"/>
      <c r="C364" s="23"/>
      <c r="D364" s="28"/>
      <c r="E364" s="23"/>
      <c r="F364" s="23"/>
      <c r="G364" s="28"/>
      <c r="H364" s="28"/>
      <c r="I364" s="28"/>
      <c r="J364" s="28"/>
      <c r="K364" s="28"/>
      <c r="L364" s="28"/>
      <c r="M364" s="28"/>
      <c r="N364" s="28"/>
      <c r="O364" s="28"/>
      <c r="P364" s="28"/>
      <c r="Q364" s="28"/>
      <c r="R364" s="28"/>
      <c r="S364" s="28"/>
      <c r="T364" s="28"/>
      <c r="U364" s="28"/>
      <c r="V364" s="17">
        <f>IF($B364="","",COUNTIF(G364:U364,"OK"))</f>
        <v/>
      </c>
      <c r="W364" s="17">
        <f>IF($B364="","",COUNTIF(G364:U364,"NOK"))</f>
        <v/>
      </c>
      <c r="X364" s="9">
        <f>IF($B364="","",IF(V364+W364=0,"",V364/(V364+W364)))</f>
        <v/>
      </c>
      <c r="Y364" s="17">
        <f>IF(X364="","",IF(X364&gt;=Setup!$C$7,"PASS","FAIL"))</f>
        <v/>
      </c>
      <c r="Z364" s="17">
        <f>IF($B364="","",IF(W364=0,"",IF(COUNTIF(Findings!$B$6:$B$305,$A364)&gt;=W364,"OK","LOG FINDING")))</f>
        <v/>
      </c>
    </row>
    <row r="365" spans="1:26">
      <c r="A365" s="17">
        <f>IF($B365="","","A-1360")</f>
        <v/>
      </c>
      <c r="B365" s="24"/>
      <c r="C365" s="23"/>
      <c r="D365" s="28"/>
      <c r="E365" s="23"/>
      <c r="F365" s="23"/>
      <c r="G365" s="28"/>
      <c r="H365" s="28"/>
      <c r="I365" s="28"/>
      <c r="J365" s="28"/>
      <c r="K365" s="28"/>
      <c r="L365" s="28"/>
      <c r="M365" s="28"/>
      <c r="N365" s="28"/>
      <c r="O365" s="28"/>
      <c r="P365" s="28"/>
      <c r="Q365" s="28"/>
      <c r="R365" s="28"/>
      <c r="S365" s="28"/>
      <c r="T365" s="28"/>
      <c r="U365" s="28"/>
      <c r="V365" s="17">
        <f>IF($B365="","",COUNTIF(G365:U365,"OK"))</f>
        <v/>
      </c>
      <c r="W365" s="17">
        <f>IF($B365="","",COUNTIF(G365:U365,"NOK"))</f>
        <v/>
      </c>
      <c r="X365" s="9">
        <f>IF($B365="","",IF(V365+W365=0,"",V365/(V365+W365)))</f>
        <v/>
      </c>
      <c r="Y365" s="17">
        <f>IF(X365="","",IF(X365&gt;=Setup!$C$7,"PASS","FAIL"))</f>
        <v/>
      </c>
      <c r="Z365" s="17">
        <f>IF($B365="","",IF(W365=0,"",IF(COUNTIF(Findings!$B$6:$B$305,$A365)&gt;=W365,"OK","LOG FINDING")))</f>
        <v/>
      </c>
    </row>
    <row r="366" spans="1:26">
      <c r="A366" s="17">
        <f>IF($B366="","","A-1361")</f>
        <v/>
      </c>
      <c r="B366" s="24"/>
      <c r="C366" s="23"/>
      <c r="D366" s="28"/>
      <c r="E366" s="23"/>
      <c r="F366" s="23"/>
      <c r="G366" s="28"/>
      <c r="H366" s="28"/>
      <c r="I366" s="28"/>
      <c r="J366" s="28"/>
      <c r="K366" s="28"/>
      <c r="L366" s="28"/>
      <c r="M366" s="28"/>
      <c r="N366" s="28"/>
      <c r="O366" s="28"/>
      <c r="P366" s="28"/>
      <c r="Q366" s="28"/>
      <c r="R366" s="28"/>
      <c r="S366" s="28"/>
      <c r="T366" s="28"/>
      <c r="U366" s="28"/>
      <c r="V366" s="17">
        <f>IF($B366="","",COUNTIF(G366:U366,"OK"))</f>
        <v/>
      </c>
      <c r="W366" s="17">
        <f>IF($B366="","",COUNTIF(G366:U366,"NOK"))</f>
        <v/>
      </c>
      <c r="X366" s="9">
        <f>IF($B366="","",IF(V366+W366=0,"",V366/(V366+W366)))</f>
        <v/>
      </c>
      <c r="Y366" s="17">
        <f>IF(X366="","",IF(X366&gt;=Setup!$C$7,"PASS","FAIL"))</f>
        <v/>
      </c>
      <c r="Z366" s="17">
        <f>IF($B366="","",IF(W366=0,"",IF(COUNTIF(Findings!$B$6:$B$305,$A366)&gt;=W366,"OK","LOG FINDING")))</f>
        <v/>
      </c>
    </row>
    <row r="367" spans="1:26">
      <c r="A367" s="17">
        <f>IF($B367="","","A-1362")</f>
        <v/>
      </c>
      <c r="B367" s="24"/>
      <c r="C367" s="23"/>
      <c r="D367" s="28"/>
      <c r="E367" s="23"/>
      <c r="F367" s="23"/>
      <c r="G367" s="28"/>
      <c r="H367" s="28"/>
      <c r="I367" s="28"/>
      <c r="J367" s="28"/>
      <c r="K367" s="28"/>
      <c r="L367" s="28"/>
      <c r="M367" s="28"/>
      <c r="N367" s="28"/>
      <c r="O367" s="28"/>
      <c r="P367" s="28"/>
      <c r="Q367" s="28"/>
      <c r="R367" s="28"/>
      <c r="S367" s="28"/>
      <c r="T367" s="28"/>
      <c r="U367" s="28"/>
      <c r="V367" s="17">
        <f>IF($B367="","",COUNTIF(G367:U367,"OK"))</f>
        <v/>
      </c>
      <c r="W367" s="17">
        <f>IF($B367="","",COUNTIF(G367:U367,"NOK"))</f>
        <v/>
      </c>
      <c r="X367" s="9">
        <f>IF($B367="","",IF(V367+W367=0,"",V367/(V367+W367)))</f>
        <v/>
      </c>
      <c r="Y367" s="17">
        <f>IF(X367="","",IF(X367&gt;=Setup!$C$7,"PASS","FAIL"))</f>
        <v/>
      </c>
      <c r="Z367" s="17">
        <f>IF($B367="","",IF(W367=0,"",IF(COUNTIF(Findings!$B$6:$B$305,$A367)&gt;=W367,"OK","LOG FINDING")))</f>
        <v/>
      </c>
    </row>
    <row r="368" spans="1:26">
      <c r="A368" s="17">
        <f>IF($B368="","","A-1363")</f>
        <v/>
      </c>
      <c r="B368" s="24"/>
      <c r="C368" s="23"/>
      <c r="D368" s="28"/>
      <c r="E368" s="23"/>
      <c r="F368" s="23"/>
      <c r="G368" s="28"/>
      <c r="H368" s="28"/>
      <c r="I368" s="28"/>
      <c r="J368" s="28"/>
      <c r="K368" s="28"/>
      <c r="L368" s="28"/>
      <c r="M368" s="28"/>
      <c r="N368" s="28"/>
      <c r="O368" s="28"/>
      <c r="P368" s="28"/>
      <c r="Q368" s="28"/>
      <c r="R368" s="28"/>
      <c r="S368" s="28"/>
      <c r="T368" s="28"/>
      <c r="U368" s="28"/>
      <c r="V368" s="17">
        <f>IF($B368="","",COUNTIF(G368:U368,"OK"))</f>
        <v/>
      </c>
      <c r="W368" s="17">
        <f>IF($B368="","",COUNTIF(G368:U368,"NOK"))</f>
        <v/>
      </c>
      <c r="X368" s="9">
        <f>IF($B368="","",IF(V368+W368=0,"",V368/(V368+W368)))</f>
        <v/>
      </c>
      <c r="Y368" s="17">
        <f>IF(X368="","",IF(X368&gt;=Setup!$C$7,"PASS","FAIL"))</f>
        <v/>
      </c>
      <c r="Z368" s="17">
        <f>IF($B368="","",IF(W368=0,"",IF(COUNTIF(Findings!$B$6:$B$305,$A368)&gt;=W368,"OK","LOG FINDING")))</f>
        <v/>
      </c>
    </row>
    <row r="369" spans="1:26">
      <c r="A369" s="17">
        <f>IF($B369="","","A-1364")</f>
        <v/>
      </c>
      <c r="B369" s="24"/>
      <c r="C369" s="23"/>
      <c r="D369" s="28"/>
      <c r="E369" s="23"/>
      <c r="F369" s="23"/>
      <c r="G369" s="28"/>
      <c r="H369" s="28"/>
      <c r="I369" s="28"/>
      <c r="J369" s="28"/>
      <c r="K369" s="28"/>
      <c r="L369" s="28"/>
      <c r="M369" s="28"/>
      <c r="N369" s="28"/>
      <c r="O369" s="28"/>
      <c r="P369" s="28"/>
      <c r="Q369" s="28"/>
      <c r="R369" s="28"/>
      <c r="S369" s="28"/>
      <c r="T369" s="28"/>
      <c r="U369" s="28"/>
      <c r="V369" s="17">
        <f>IF($B369="","",COUNTIF(G369:U369,"OK"))</f>
        <v/>
      </c>
      <c r="W369" s="17">
        <f>IF($B369="","",COUNTIF(G369:U369,"NOK"))</f>
        <v/>
      </c>
      <c r="X369" s="9">
        <f>IF($B369="","",IF(V369+W369=0,"",V369/(V369+W369)))</f>
        <v/>
      </c>
      <c r="Y369" s="17">
        <f>IF(X369="","",IF(X369&gt;=Setup!$C$7,"PASS","FAIL"))</f>
        <v/>
      </c>
      <c r="Z369" s="17">
        <f>IF($B369="","",IF(W369=0,"",IF(COUNTIF(Findings!$B$6:$B$305,$A369)&gt;=W369,"OK","LOG FINDING")))</f>
        <v/>
      </c>
    </row>
    <row r="370" spans="1:26">
      <c r="A370" s="17">
        <f>IF($B370="","","A-1365")</f>
        <v/>
      </c>
      <c r="B370" s="24"/>
      <c r="C370" s="23"/>
      <c r="D370" s="28"/>
      <c r="E370" s="23"/>
      <c r="F370" s="23"/>
      <c r="G370" s="28"/>
      <c r="H370" s="28"/>
      <c r="I370" s="28"/>
      <c r="J370" s="28"/>
      <c r="K370" s="28"/>
      <c r="L370" s="28"/>
      <c r="M370" s="28"/>
      <c r="N370" s="28"/>
      <c r="O370" s="28"/>
      <c r="P370" s="28"/>
      <c r="Q370" s="28"/>
      <c r="R370" s="28"/>
      <c r="S370" s="28"/>
      <c r="T370" s="28"/>
      <c r="U370" s="28"/>
      <c r="V370" s="17">
        <f>IF($B370="","",COUNTIF(G370:U370,"OK"))</f>
        <v/>
      </c>
      <c r="W370" s="17">
        <f>IF($B370="","",COUNTIF(G370:U370,"NOK"))</f>
        <v/>
      </c>
      <c r="X370" s="9">
        <f>IF($B370="","",IF(V370+W370=0,"",V370/(V370+W370)))</f>
        <v/>
      </c>
      <c r="Y370" s="17">
        <f>IF(X370="","",IF(X370&gt;=Setup!$C$7,"PASS","FAIL"))</f>
        <v/>
      </c>
      <c r="Z370" s="17">
        <f>IF($B370="","",IF(W370=0,"",IF(COUNTIF(Findings!$B$6:$B$305,$A370)&gt;=W370,"OK","LOG FINDING")))</f>
        <v/>
      </c>
    </row>
    <row r="371" spans="1:26">
      <c r="A371" s="17">
        <f>IF($B371="","","A-1366")</f>
        <v/>
      </c>
      <c r="B371" s="24"/>
      <c r="C371" s="23"/>
      <c r="D371" s="28"/>
      <c r="E371" s="23"/>
      <c r="F371" s="23"/>
      <c r="G371" s="28"/>
      <c r="H371" s="28"/>
      <c r="I371" s="28"/>
      <c r="J371" s="28"/>
      <c r="K371" s="28"/>
      <c r="L371" s="28"/>
      <c r="M371" s="28"/>
      <c r="N371" s="28"/>
      <c r="O371" s="28"/>
      <c r="P371" s="28"/>
      <c r="Q371" s="28"/>
      <c r="R371" s="28"/>
      <c r="S371" s="28"/>
      <c r="T371" s="28"/>
      <c r="U371" s="28"/>
      <c r="V371" s="17">
        <f>IF($B371="","",COUNTIF(G371:U371,"OK"))</f>
        <v/>
      </c>
      <c r="W371" s="17">
        <f>IF($B371="","",COUNTIF(G371:U371,"NOK"))</f>
        <v/>
      </c>
      <c r="X371" s="9">
        <f>IF($B371="","",IF(V371+W371=0,"",V371/(V371+W371)))</f>
        <v/>
      </c>
      <c r="Y371" s="17">
        <f>IF(X371="","",IF(X371&gt;=Setup!$C$7,"PASS","FAIL"))</f>
        <v/>
      </c>
      <c r="Z371" s="17">
        <f>IF($B371="","",IF(W371=0,"",IF(COUNTIF(Findings!$B$6:$B$305,$A371)&gt;=W371,"OK","LOG FINDING")))</f>
        <v/>
      </c>
    </row>
    <row r="372" spans="1:26">
      <c r="A372" s="17">
        <f>IF($B372="","","A-1367")</f>
        <v/>
      </c>
      <c r="B372" s="24"/>
      <c r="C372" s="23"/>
      <c r="D372" s="28"/>
      <c r="E372" s="23"/>
      <c r="F372" s="23"/>
      <c r="G372" s="28"/>
      <c r="H372" s="28"/>
      <c r="I372" s="28"/>
      <c r="J372" s="28"/>
      <c r="K372" s="28"/>
      <c r="L372" s="28"/>
      <c r="M372" s="28"/>
      <c r="N372" s="28"/>
      <c r="O372" s="28"/>
      <c r="P372" s="28"/>
      <c r="Q372" s="28"/>
      <c r="R372" s="28"/>
      <c r="S372" s="28"/>
      <c r="T372" s="28"/>
      <c r="U372" s="28"/>
      <c r="V372" s="17">
        <f>IF($B372="","",COUNTIF(G372:U372,"OK"))</f>
        <v/>
      </c>
      <c r="W372" s="17">
        <f>IF($B372="","",COUNTIF(G372:U372,"NOK"))</f>
        <v/>
      </c>
      <c r="X372" s="9">
        <f>IF($B372="","",IF(V372+W372=0,"",V372/(V372+W372)))</f>
        <v/>
      </c>
      <c r="Y372" s="17">
        <f>IF(X372="","",IF(X372&gt;=Setup!$C$7,"PASS","FAIL"))</f>
        <v/>
      </c>
      <c r="Z372" s="17">
        <f>IF($B372="","",IF(W372=0,"",IF(COUNTIF(Findings!$B$6:$B$305,$A372)&gt;=W372,"OK","LOG FINDING")))</f>
        <v/>
      </c>
    </row>
    <row r="373" spans="1:26">
      <c r="A373" s="17">
        <f>IF($B373="","","A-1368")</f>
        <v/>
      </c>
      <c r="B373" s="24"/>
      <c r="C373" s="23"/>
      <c r="D373" s="28"/>
      <c r="E373" s="23"/>
      <c r="F373" s="23"/>
      <c r="G373" s="28"/>
      <c r="H373" s="28"/>
      <c r="I373" s="28"/>
      <c r="J373" s="28"/>
      <c r="K373" s="28"/>
      <c r="L373" s="28"/>
      <c r="M373" s="28"/>
      <c r="N373" s="28"/>
      <c r="O373" s="28"/>
      <c r="P373" s="28"/>
      <c r="Q373" s="28"/>
      <c r="R373" s="28"/>
      <c r="S373" s="28"/>
      <c r="T373" s="28"/>
      <c r="U373" s="28"/>
      <c r="V373" s="17">
        <f>IF($B373="","",COUNTIF(G373:U373,"OK"))</f>
        <v/>
      </c>
      <c r="W373" s="17">
        <f>IF($B373="","",COUNTIF(G373:U373,"NOK"))</f>
        <v/>
      </c>
      <c r="X373" s="9">
        <f>IF($B373="","",IF(V373+W373=0,"",V373/(V373+W373)))</f>
        <v/>
      </c>
      <c r="Y373" s="17">
        <f>IF(X373="","",IF(X373&gt;=Setup!$C$7,"PASS","FAIL"))</f>
        <v/>
      </c>
      <c r="Z373" s="17">
        <f>IF($B373="","",IF(W373=0,"",IF(COUNTIF(Findings!$B$6:$B$305,$A373)&gt;=W373,"OK","LOG FINDING")))</f>
        <v/>
      </c>
    </row>
    <row r="374" spans="1:26">
      <c r="A374" s="17">
        <f>IF($B374="","","A-1369")</f>
        <v/>
      </c>
      <c r="B374" s="24"/>
      <c r="C374" s="23"/>
      <c r="D374" s="28"/>
      <c r="E374" s="23"/>
      <c r="F374" s="23"/>
      <c r="G374" s="28"/>
      <c r="H374" s="28"/>
      <c r="I374" s="28"/>
      <c r="J374" s="28"/>
      <c r="K374" s="28"/>
      <c r="L374" s="28"/>
      <c r="M374" s="28"/>
      <c r="N374" s="28"/>
      <c r="O374" s="28"/>
      <c r="P374" s="28"/>
      <c r="Q374" s="28"/>
      <c r="R374" s="28"/>
      <c r="S374" s="28"/>
      <c r="T374" s="28"/>
      <c r="U374" s="28"/>
      <c r="V374" s="17">
        <f>IF($B374="","",COUNTIF(G374:U374,"OK"))</f>
        <v/>
      </c>
      <c r="W374" s="17">
        <f>IF($B374="","",COUNTIF(G374:U374,"NOK"))</f>
        <v/>
      </c>
      <c r="X374" s="9">
        <f>IF($B374="","",IF(V374+W374=0,"",V374/(V374+W374)))</f>
        <v/>
      </c>
      <c r="Y374" s="17">
        <f>IF(X374="","",IF(X374&gt;=Setup!$C$7,"PASS","FAIL"))</f>
        <v/>
      </c>
      <c r="Z374" s="17">
        <f>IF($B374="","",IF(W374=0,"",IF(COUNTIF(Findings!$B$6:$B$305,$A374)&gt;=W374,"OK","LOG FINDING")))</f>
        <v/>
      </c>
    </row>
    <row r="375" spans="1:26">
      <c r="A375" s="17">
        <f>IF($B375="","","A-1370")</f>
        <v/>
      </c>
      <c r="B375" s="24"/>
      <c r="C375" s="23"/>
      <c r="D375" s="28"/>
      <c r="E375" s="23"/>
      <c r="F375" s="23"/>
      <c r="G375" s="28"/>
      <c r="H375" s="28"/>
      <c r="I375" s="28"/>
      <c r="J375" s="28"/>
      <c r="K375" s="28"/>
      <c r="L375" s="28"/>
      <c r="M375" s="28"/>
      <c r="N375" s="28"/>
      <c r="O375" s="28"/>
      <c r="P375" s="28"/>
      <c r="Q375" s="28"/>
      <c r="R375" s="28"/>
      <c r="S375" s="28"/>
      <c r="T375" s="28"/>
      <c r="U375" s="28"/>
      <c r="V375" s="17">
        <f>IF($B375="","",COUNTIF(G375:U375,"OK"))</f>
        <v/>
      </c>
      <c r="W375" s="17">
        <f>IF($B375="","",COUNTIF(G375:U375,"NOK"))</f>
        <v/>
      </c>
      <c r="X375" s="9">
        <f>IF($B375="","",IF(V375+W375=0,"",V375/(V375+W375)))</f>
        <v/>
      </c>
      <c r="Y375" s="17">
        <f>IF(X375="","",IF(X375&gt;=Setup!$C$7,"PASS","FAIL"))</f>
        <v/>
      </c>
      <c r="Z375" s="17">
        <f>IF($B375="","",IF(W375=0,"",IF(COUNTIF(Findings!$B$6:$B$305,$A375)&gt;=W375,"OK","LOG FINDING")))</f>
        <v/>
      </c>
    </row>
    <row r="376" spans="1:26">
      <c r="A376" s="17">
        <f>IF($B376="","","A-1371")</f>
        <v/>
      </c>
      <c r="B376" s="24"/>
      <c r="C376" s="23"/>
      <c r="D376" s="28"/>
      <c r="E376" s="23"/>
      <c r="F376" s="23"/>
      <c r="G376" s="28"/>
      <c r="H376" s="28"/>
      <c r="I376" s="28"/>
      <c r="J376" s="28"/>
      <c r="K376" s="28"/>
      <c r="L376" s="28"/>
      <c r="M376" s="28"/>
      <c r="N376" s="28"/>
      <c r="O376" s="28"/>
      <c r="P376" s="28"/>
      <c r="Q376" s="28"/>
      <c r="R376" s="28"/>
      <c r="S376" s="28"/>
      <c r="T376" s="28"/>
      <c r="U376" s="28"/>
      <c r="V376" s="17">
        <f>IF($B376="","",COUNTIF(G376:U376,"OK"))</f>
        <v/>
      </c>
      <c r="W376" s="17">
        <f>IF($B376="","",COUNTIF(G376:U376,"NOK"))</f>
        <v/>
      </c>
      <c r="X376" s="9">
        <f>IF($B376="","",IF(V376+W376=0,"",V376/(V376+W376)))</f>
        <v/>
      </c>
      <c r="Y376" s="17">
        <f>IF(X376="","",IF(X376&gt;=Setup!$C$7,"PASS","FAIL"))</f>
        <v/>
      </c>
      <c r="Z376" s="17">
        <f>IF($B376="","",IF(W376=0,"",IF(COUNTIF(Findings!$B$6:$B$305,$A376)&gt;=W376,"OK","LOG FINDING")))</f>
        <v/>
      </c>
    </row>
    <row r="377" spans="1:26">
      <c r="A377" s="17">
        <f>IF($B377="","","A-1372")</f>
        <v/>
      </c>
      <c r="B377" s="24"/>
      <c r="C377" s="23"/>
      <c r="D377" s="28"/>
      <c r="E377" s="23"/>
      <c r="F377" s="23"/>
      <c r="G377" s="28"/>
      <c r="H377" s="28"/>
      <c r="I377" s="28"/>
      <c r="J377" s="28"/>
      <c r="K377" s="28"/>
      <c r="L377" s="28"/>
      <c r="M377" s="28"/>
      <c r="N377" s="28"/>
      <c r="O377" s="28"/>
      <c r="P377" s="28"/>
      <c r="Q377" s="28"/>
      <c r="R377" s="28"/>
      <c r="S377" s="28"/>
      <c r="T377" s="28"/>
      <c r="U377" s="28"/>
      <c r="V377" s="17">
        <f>IF($B377="","",COUNTIF(G377:U377,"OK"))</f>
        <v/>
      </c>
      <c r="W377" s="17">
        <f>IF($B377="","",COUNTIF(G377:U377,"NOK"))</f>
        <v/>
      </c>
      <c r="X377" s="9">
        <f>IF($B377="","",IF(V377+W377=0,"",V377/(V377+W377)))</f>
        <v/>
      </c>
      <c r="Y377" s="17">
        <f>IF(X377="","",IF(X377&gt;=Setup!$C$7,"PASS","FAIL"))</f>
        <v/>
      </c>
      <c r="Z377" s="17">
        <f>IF($B377="","",IF(W377=0,"",IF(COUNTIF(Findings!$B$6:$B$305,$A377)&gt;=W377,"OK","LOG FINDING")))</f>
        <v/>
      </c>
    </row>
    <row r="378" spans="1:26">
      <c r="A378" s="17">
        <f>IF($B378="","","A-1373")</f>
        <v/>
      </c>
      <c r="B378" s="24"/>
      <c r="C378" s="23"/>
      <c r="D378" s="28"/>
      <c r="E378" s="23"/>
      <c r="F378" s="23"/>
      <c r="G378" s="28"/>
      <c r="H378" s="28"/>
      <c r="I378" s="28"/>
      <c r="J378" s="28"/>
      <c r="K378" s="28"/>
      <c r="L378" s="28"/>
      <c r="M378" s="28"/>
      <c r="N378" s="28"/>
      <c r="O378" s="28"/>
      <c r="P378" s="28"/>
      <c r="Q378" s="28"/>
      <c r="R378" s="28"/>
      <c r="S378" s="28"/>
      <c r="T378" s="28"/>
      <c r="U378" s="28"/>
      <c r="V378" s="17">
        <f>IF($B378="","",COUNTIF(G378:U378,"OK"))</f>
        <v/>
      </c>
      <c r="W378" s="17">
        <f>IF($B378="","",COUNTIF(G378:U378,"NOK"))</f>
        <v/>
      </c>
      <c r="X378" s="9">
        <f>IF($B378="","",IF(V378+W378=0,"",V378/(V378+W378)))</f>
        <v/>
      </c>
      <c r="Y378" s="17">
        <f>IF(X378="","",IF(X378&gt;=Setup!$C$7,"PASS","FAIL"))</f>
        <v/>
      </c>
      <c r="Z378" s="17">
        <f>IF($B378="","",IF(W378=0,"",IF(COUNTIF(Findings!$B$6:$B$305,$A378)&gt;=W378,"OK","LOG FINDING")))</f>
        <v/>
      </c>
    </row>
    <row r="379" spans="1:26">
      <c r="A379" s="17">
        <f>IF($B379="","","A-1374")</f>
        <v/>
      </c>
      <c r="B379" s="24"/>
      <c r="C379" s="23"/>
      <c r="D379" s="28"/>
      <c r="E379" s="23"/>
      <c r="F379" s="23"/>
      <c r="G379" s="28"/>
      <c r="H379" s="28"/>
      <c r="I379" s="28"/>
      <c r="J379" s="28"/>
      <c r="K379" s="28"/>
      <c r="L379" s="28"/>
      <c r="M379" s="28"/>
      <c r="N379" s="28"/>
      <c r="O379" s="28"/>
      <c r="P379" s="28"/>
      <c r="Q379" s="28"/>
      <c r="R379" s="28"/>
      <c r="S379" s="28"/>
      <c r="T379" s="28"/>
      <c r="U379" s="28"/>
      <c r="V379" s="17">
        <f>IF($B379="","",COUNTIF(G379:U379,"OK"))</f>
        <v/>
      </c>
      <c r="W379" s="17">
        <f>IF($B379="","",COUNTIF(G379:U379,"NOK"))</f>
        <v/>
      </c>
      <c r="X379" s="9">
        <f>IF($B379="","",IF(V379+W379=0,"",V379/(V379+W379)))</f>
        <v/>
      </c>
      <c r="Y379" s="17">
        <f>IF(X379="","",IF(X379&gt;=Setup!$C$7,"PASS","FAIL"))</f>
        <v/>
      </c>
      <c r="Z379" s="17">
        <f>IF($B379="","",IF(W379=0,"",IF(COUNTIF(Findings!$B$6:$B$305,$A379)&gt;=W379,"OK","LOG FINDING")))</f>
        <v/>
      </c>
    </row>
    <row r="380" spans="1:26">
      <c r="A380" s="17">
        <f>IF($B380="","","A-1375")</f>
        <v/>
      </c>
      <c r="B380" s="24"/>
      <c r="C380" s="23"/>
      <c r="D380" s="28"/>
      <c r="E380" s="23"/>
      <c r="F380" s="23"/>
      <c r="G380" s="28"/>
      <c r="H380" s="28"/>
      <c r="I380" s="28"/>
      <c r="J380" s="28"/>
      <c r="K380" s="28"/>
      <c r="L380" s="28"/>
      <c r="M380" s="28"/>
      <c r="N380" s="28"/>
      <c r="O380" s="28"/>
      <c r="P380" s="28"/>
      <c r="Q380" s="28"/>
      <c r="R380" s="28"/>
      <c r="S380" s="28"/>
      <c r="T380" s="28"/>
      <c r="U380" s="28"/>
      <c r="V380" s="17">
        <f>IF($B380="","",COUNTIF(G380:U380,"OK"))</f>
        <v/>
      </c>
      <c r="W380" s="17">
        <f>IF($B380="","",COUNTIF(G380:U380,"NOK"))</f>
        <v/>
      </c>
      <c r="X380" s="9">
        <f>IF($B380="","",IF(V380+W380=0,"",V380/(V380+W380)))</f>
        <v/>
      </c>
      <c r="Y380" s="17">
        <f>IF(X380="","",IF(X380&gt;=Setup!$C$7,"PASS","FAIL"))</f>
        <v/>
      </c>
      <c r="Z380" s="17">
        <f>IF($B380="","",IF(W380=0,"",IF(COUNTIF(Findings!$B$6:$B$305,$A380)&gt;=W380,"OK","LOG FINDING")))</f>
        <v/>
      </c>
    </row>
    <row r="381" spans="1:26">
      <c r="A381" s="17">
        <f>IF($B381="","","A-1376")</f>
        <v/>
      </c>
      <c r="B381" s="24"/>
      <c r="C381" s="23"/>
      <c r="D381" s="28"/>
      <c r="E381" s="23"/>
      <c r="F381" s="23"/>
      <c r="G381" s="28"/>
      <c r="H381" s="28"/>
      <c r="I381" s="28"/>
      <c r="J381" s="28"/>
      <c r="K381" s="28"/>
      <c r="L381" s="28"/>
      <c r="M381" s="28"/>
      <c r="N381" s="28"/>
      <c r="O381" s="28"/>
      <c r="P381" s="28"/>
      <c r="Q381" s="28"/>
      <c r="R381" s="28"/>
      <c r="S381" s="28"/>
      <c r="T381" s="28"/>
      <c r="U381" s="28"/>
      <c r="V381" s="17">
        <f>IF($B381="","",COUNTIF(G381:U381,"OK"))</f>
        <v/>
      </c>
      <c r="W381" s="17">
        <f>IF($B381="","",COUNTIF(G381:U381,"NOK"))</f>
        <v/>
      </c>
      <c r="X381" s="9">
        <f>IF($B381="","",IF(V381+W381=0,"",V381/(V381+W381)))</f>
        <v/>
      </c>
      <c r="Y381" s="17">
        <f>IF(X381="","",IF(X381&gt;=Setup!$C$7,"PASS","FAIL"))</f>
        <v/>
      </c>
      <c r="Z381" s="17">
        <f>IF($B381="","",IF(W381=0,"",IF(COUNTIF(Findings!$B$6:$B$305,$A381)&gt;=W381,"OK","LOG FINDING")))</f>
        <v/>
      </c>
    </row>
    <row r="382" spans="1:26">
      <c r="A382" s="17">
        <f>IF($B382="","","A-1377")</f>
        <v/>
      </c>
      <c r="B382" s="24"/>
      <c r="C382" s="23"/>
      <c r="D382" s="28"/>
      <c r="E382" s="23"/>
      <c r="F382" s="23"/>
      <c r="G382" s="28"/>
      <c r="H382" s="28"/>
      <c r="I382" s="28"/>
      <c r="J382" s="28"/>
      <c r="K382" s="28"/>
      <c r="L382" s="28"/>
      <c r="M382" s="28"/>
      <c r="N382" s="28"/>
      <c r="O382" s="28"/>
      <c r="P382" s="28"/>
      <c r="Q382" s="28"/>
      <c r="R382" s="28"/>
      <c r="S382" s="28"/>
      <c r="T382" s="28"/>
      <c r="U382" s="28"/>
      <c r="V382" s="17">
        <f>IF($B382="","",COUNTIF(G382:U382,"OK"))</f>
        <v/>
      </c>
      <c r="W382" s="17">
        <f>IF($B382="","",COUNTIF(G382:U382,"NOK"))</f>
        <v/>
      </c>
      <c r="X382" s="9">
        <f>IF($B382="","",IF(V382+W382=0,"",V382/(V382+W382)))</f>
        <v/>
      </c>
      <c r="Y382" s="17">
        <f>IF(X382="","",IF(X382&gt;=Setup!$C$7,"PASS","FAIL"))</f>
        <v/>
      </c>
      <c r="Z382" s="17">
        <f>IF($B382="","",IF(W382=0,"",IF(COUNTIF(Findings!$B$6:$B$305,$A382)&gt;=W382,"OK","LOG FINDING")))</f>
        <v/>
      </c>
    </row>
    <row r="383" spans="1:26">
      <c r="A383" s="17">
        <f>IF($B383="","","A-1378")</f>
        <v/>
      </c>
      <c r="B383" s="24"/>
      <c r="C383" s="23"/>
      <c r="D383" s="28"/>
      <c r="E383" s="23"/>
      <c r="F383" s="23"/>
      <c r="G383" s="28"/>
      <c r="H383" s="28"/>
      <c r="I383" s="28"/>
      <c r="J383" s="28"/>
      <c r="K383" s="28"/>
      <c r="L383" s="28"/>
      <c r="M383" s="28"/>
      <c r="N383" s="28"/>
      <c r="O383" s="28"/>
      <c r="P383" s="28"/>
      <c r="Q383" s="28"/>
      <c r="R383" s="28"/>
      <c r="S383" s="28"/>
      <c r="T383" s="28"/>
      <c r="U383" s="28"/>
      <c r="V383" s="17">
        <f>IF($B383="","",COUNTIF(G383:U383,"OK"))</f>
        <v/>
      </c>
      <c r="W383" s="17">
        <f>IF($B383="","",COUNTIF(G383:U383,"NOK"))</f>
        <v/>
      </c>
      <c r="X383" s="9">
        <f>IF($B383="","",IF(V383+W383=0,"",V383/(V383+W383)))</f>
        <v/>
      </c>
      <c r="Y383" s="17">
        <f>IF(X383="","",IF(X383&gt;=Setup!$C$7,"PASS","FAIL"))</f>
        <v/>
      </c>
      <c r="Z383" s="17">
        <f>IF($B383="","",IF(W383=0,"",IF(COUNTIF(Findings!$B$6:$B$305,$A383)&gt;=W383,"OK","LOG FINDING")))</f>
        <v/>
      </c>
    </row>
    <row r="384" spans="1:26">
      <c r="A384" s="17">
        <f>IF($B384="","","A-1379")</f>
        <v/>
      </c>
      <c r="B384" s="24"/>
      <c r="C384" s="23"/>
      <c r="D384" s="28"/>
      <c r="E384" s="23"/>
      <c r="F384" s="23"/>
      <c r="G384" s="28"/>
      <c r="H384" s="28"/>
      <c r="I384" s="28"/>
      <c r="J384" s="28"/>
      <c r="K384" s="28"/>
      <c r="L384" s="28"/>
      <c r="M384" s="28"/>
      <c r="N384" s="28"/>
      <c r="O384" s="28"/>
      <c r="P384" s="28"/>
      <c r="Q384" s="28"/>
      <c r="R384" s="28"/>
      <c r="S384" s="28"/>
      <c r="T384" s="28"/>
      <c r="U384" s="28"/>
      <c r="V384" s="17">
        <f>IF($B384="","",COUNTIF(G384:U384,"OK"))</f>
        <v/>
      </c>
      <c r="W384" s="17">
        <f>IF($B384="","",COUNTIF(G384:U384,"NOK"))</f>
        <v/>
      </c>
      <c r="X384" s="9">
        <f>IF($B384="","",IF(V384+W384=0,"",V384/(V384+W384)))</f>
        <v/>
      </c>
      <c r="Y384" s="17">
        <f>IF(X384="","",IF(X384&gt;=Setup!$C$7,"PASS","FAIL"))</f>
        <v/>
      </c>
      <c r="Z384" s="17">
        <f>IF($B384="","",IF(W384=0,"",IF(COUNTIF(Findings!$B$6:$B$305,$A384)&gt;=W384,"OK","LOG FINDING")))</f>
        <v/>
      </c>
    </row>
    <row r="385" spans="1:26">
      <c r="A385" s="17">
        <f>IF($B385="","","A-1380")</f>
        <v/>
      </c>
      <c r="B385" s="24"/>
      <c r="C385" s="23"/>
      <c r="D385" s="28"/>
      <c r="E385" s="23"/>
      <c r="F385" s="23"/>
      <c r="G385" s="28"/>
      <c r="H385" s="28"/>
      <c r="I385" s="28"/>
      <c r="J385" s="28"/>
      <c r="K385" s="28"/>
      <c r="L385" s="28"/>
      <c r="M385" s="28"/>
      <c r="N385" s="28"/>
      <c r="O385" s="28"/>
      <c r="P385" s="28"/>
      <c r="Q385" s="28"/>
      <c r="R385" s="28"/>
      <c r="S385" s="28"/>
      <c r="T385" s="28"/>
      <c r="U385" s="28"/>
      <c r="V385" s="17">
        <f>IF($B385="","",COUNTIF(G385:U385,"OK"))</f>
        <v/>
      </c>
      <c r="W385" s="17">
        <f>IF($B385="","",COUNTIF(G385:U385,"NOK"))</f>
        <v/>
      </c>
      <c r="X385" s="9">
        <f>IF($B385="","",IF(V385+W385=0,"",V385/(V385+W385)))</f>
        <v/>
      </c>
      <c r="Y385" s="17">
        <f>IF(X385="","",IF(X385&gt;=Setup!$C$7,"PASS","FAIL"))</f>
        <v/>
      </c>
      <c r="Z385" s="17">
        <f>IF($B385="","",IF(W385=0,"",IF(COUNTIF(Findings!$B$6:$B$305,$A385)&gt;=W385,"OK","LOG FINDING")))</f>
        <v/>
      </c>
    </row>
    <row r="386" spans="1:26">
      <c r="A386" s="17">
        <f>IF($B386="","","A-1381")</f>
        <v/>
      </c>
      <c r="B386" s="24"/>
      <c r="C386" s="23"/>
      <c r="D386" s="28"/>
      <c r="E386" s="23"/>
      <c r="F386" s="23"/>
      <c r="G386" s="28"/>
      <c r="H386" s="28"/>
      <c r="I386" s="28"/>
      <c r="J386" s="28"/>
      <c r="K386" s="28"/>
      <c r="L386" s="28"/>
      <c r="M386" s="28"/>
      <c r="N386" s="28"/>
      <c r="O386" s="28"/>
      <c r="P386" s="28"/>
      <c r="Q386" s="28"/>
      <c r="R386" s="28"/>
      <c r="S386" s="28"/>
      <c r="T386" s="28"/>
      <c r="U386" s="28"/>
      <c r="V386" s="17">
        <f>IF($B386="","",COUNTIF(G386:U386,"OK"))</f>
        <v/>
      </c>
      <c r="W386" s="17">
        <f>IF($B386="","",COUNTIF(G386:U386,"NOK"))</f>
        <v/>
      </c>
      <c r="X386" s="9">
        <f>IF($B386="","",IF(V386+W386=0,"",V386/(V386+W386)))</f>
        <v/>
      </c>
      <c r="Y386" s="17">
        <f>IF(X386="","",IF(X386&gt;=Setup!$C$7,"PASS","FAIL"))</f>
        <v/>
      </c>
      <c r="Z386" s="17">
        <f>IF($B386="","",IF(W386=0,"",IF(COUNTIF(Findings!$B$6:$B$305,$A386)&gt;=W386,"OK","LOG FINDING")))</f>
        <v/>
      </c>
    </row>
    <row r="387" spans="1:26">
      <c r="A387" s="17">
        <f>IF($B387="","","A-1382")</f>
        <v/>
      </c>
      <c r="B387" s="24"/>
      <c r="C387" s="23"/>
      <c r="D387" s="28"/>
      <c r="E387" s="23"/>
      <c r="F387" s="23"/>
      <c r="G387" s="28"/>
      <c r="H387" s="28"/>
      <c r="I387" s="28"/>
      <c r="J387" s="28"/>
      <c r="K387" s="28"/>
      <c r="L387" s="28"/>
      <c r="M387" s="28"/>
      <c r="N387" s="28"/>
      <c r="O387" s="28"/>
      <c r="P387" s="28"/>
      <c r="Q387" s="28"/>
      <c r="R387" s="28"/>
      <c r="S387" s="28"/>
      <c r="T387" s="28"/>
      <c r="U387" s="28"/>
      <c r="V387" s="17">
        <f>IF($B387="","",COUNTIF(G387:U387,"OK"))</f>
        <v/>
      </c>
      <c r="W387" s="17">
        <f>IF($B387="","",COUNTIF(G387:U387,"NOK"))</f>
        <v/>
      </c>
      <c r="X387" s="9">
        <f>IF($B387="","",IF(V387+W387=0,"",V387/(V387+W387)))</f>
        <v/>
      </c>
      <c r="Y387" s="17">
        <f>IF(X387="","",IF(X387&gt;=Setup!$C$7,"PASS","FAIL"))</f>
        <v/>
      </c>
      <c r="Z387" s="17">
        <f>IF($B387="","",IF(W387=0,"",IF(COUNTIF(Findings!$B$6:$B$305,$A387)&gt;=W387,"OK","LOG FINDING")))</f>
        <v/>
      </c>
    </row>
    <row r="388" spans="1:26">
      <c r="A388" s="17">
        <f>IF($B388="","","A-1383")</f>
        <v/>
      </c>
      <c r="B388" s="24"/>
      <c r="C388" s="23"/>
      <c r="D388" s="28"/>
      <c r="E388" s="23"/>
      <c r="F388" s="23"/>
      <c r="G388" s="28"/>
      <c r="H388" s="28"/>
      <c r="I388" s="28"/>
      <c r="J388" s="28"/>
      <c r="K388" s="28"/>
      <c r="L388" s="28"/>
      <c r="M388" s="28"/>
      <c r="N388" s="28"/>
      <c r="O388" s="28"/>
      <c r="P388" s="28"/>
      <c r="Q388" s="28"/>
      <c r="R388" s="28"/>
      <c r="S388" s="28"/>
      <c r="T388" s="28"/>
      <c r="U388" s="28"/>
      <c r="V388" s="17">
        <f>IF($B388="","",COUNTIF(G388:U388,"OK"))</f>
        <v/>
      </c>
      <c r="W388" s="17">
        <f>IF($B388="","",COUNTIF(G388:U388,"NOK"))</f>
        <v/>
      </c>
      <c r="X388" s="9">
        <f>IF($B388="","",IF(V388+W388=0,"",V388/(V388+W388)))</f>
        <v/>
      </c>
      <c r="Y388" s="17">
        <f>IF(X388="","",IF(X388&gt;=Setup!$C$7,"PASS","FAIL"))</f>
        <v/>
      </c>
      <c r="Z388" s="17">
        <f>IF($B388="","",IF(W388=0,"",IF(COUNTIF(Findings!$B$6:$B$305,$A388)&gt;=W388,"OK","LOG FINDING")))</f>
        <v/>
      </c>
    </row>
    <row r="389" spans="1:26">
      <c r="A389" s="17">
        <f>IF($B389="","","A-1384")</f>
        <v/>
      </c>
      <c r="B389" s="24"/>
      <c r="C389" s="23"/>
      <c r="D389" s="28"/>
      <c r="E389" s="23"/>
      <c r="F389" s="23"/>
      <c r="G389" s="28"/>
      <c r="H389" s="28"/>
      <c r="I389" s="28"/>
      <c r="J389" s="28"/>
      <c r="K389" s="28"/>
      <c r="L389" s="28"/>
      <c r="M389" s="28"/>
      <c r="N389" s="28"/>
      <c r="O389" s="28"/>
      <c r="P389" s="28"/>
      <c r="Q389" s="28"/>
      <c r="R389" s="28"/>
      <c r="S389" s="28"/>
      <c r="T389" s="28"/>
      <c r="U389" s="28"/>
      <c r="V389" s="17">
        <f>IF($B389="","",COUNTIF(G389:U389,"OK"))</f>
        <v/>
      </c>
      <c r="W389" s="17">
        <f>IF($B389="","",COUNTIF(G389:U389,"NOK"))</f>
        <v/>
      </c>
      <c r="X389" s="9">
        <f>IF($B389="","",IF(V389+W389=0,"",V389/(V389+W389)))</f>
        <v/>
      </c>
      <c r="Y389" s="17">
        <f>IF(X389="","",IF(X389&gt;=Setup!$C$7,"PASS","FAIL"))</f>
        <v/>
      </c>
      <c r="Z389" s="17">
        <f>IF($B389="","",IF(W389=0,"",IF(COUNTIF(Findings!$B$6:$B$305,$A389)&gt;=W389,"OK","LOG FINDING")))</f>
        <v/>
      </c>
    </row>
    <row r="390" spans="1:26">
      <c r="A390" s="17">
        <f>IF($B390="","","A-1385")</f>
        <v/>
      </c>
      <c r="B390" s="24"/>
      <c r="C390" s="23"/>
      <c r="D390" s="28"/>
      <c r="E390" s="23"/>
      <c r="F390" s="23"/>
      <c r="G390" s="28"/>
      <c r="H390" s="28"/>
      <c r="I390" s="28"/>
      <c r="J390" s="28"/>
      <c r="K390" s="28"/>
      <c r="L390" s="28"/>
      <c r="M390" s="28"/>
      <c r="N390" s="28"/>
      <c r="O390" s="28"/>
      <c r="P390" s="28"/>
      <c r="Q390" s="28"/>
      <c r="R390" s="28"/>
      <c r="S390" s="28"/>
      <c r="T390" s="28"/>
      <c r="U390" s="28"/>
      <c r="V390" s="17">
        <f>IF($B390="","",COUNTIF(G390:U390,"OK"))</f>
        <v/>
      </c>
      <c r="W390" s="17">
        <f>IF($B390="","",COUNTIF(G390:U390,"NOK"))</f>
        <v/>
      </c>
      <c r="X390" s="9">
        <f>IF($B390="","",IF(V390+W390=0,"",V390/(V390+W390)))</f>
        <v/>
      </c>
      <c r="Y390" s="17">
        <f>IF(X390="","",IF(X390&gt;=Setup!$C$7,"PASS","FAIL"))</f>
        <v/>
      </c>
      <c r="Z390" s="17">
        <f>IF($B390="","",IF(W390=0,"",IF(COUNTIF(Findings!$B$6:$B$305,$A390)&gt;=W390,"OK","LOG FINDING")))</f>
        <v/>
      </c>
    </row>
    <row r="391" spans="1:26">
      <c r="A391" s="17">
        <f>IF($B391="","","A-1386")</f>
        <v/>
      </c>
      <c r="B391" s="24"/>
      <c r="C391" s="23"/>
      <c r="D391" s="28"/>
      <c r="E391" s="23"/>
      <c r="F391" s="23"/>
      <c r="G391" s="28"/>
      <c r="H391" s="28"/>
      <c r="I391" s="28"/>
      <c r="J391" s="28"/>
      <c r="K391" s="28"/>
      <c r="L391" s="28"/>
      <c r="M391" s="28"/>
      <c r="N391" s="28"/>
      <c r="O391" s="28"/>
      <c r="P391" s="28"/>
      <c r="Q391" s="28"/>
      <c r="R391" s="28"/>
      <c r="S391" s="28"/>
      <c r="T391" s="28"/>
      <c r="U391" s="28"/>
      <c r="V391" s="17">
        <f>IF($B391="","",COUNTIF(G391:U391,"OK"))</f>
        <v/>
      </c>
      <c r="W391" s="17">
        <f>IF($B391="","",COUNTIF(G391:U391,"NOK"))</f>
        <v/>
      </c>
      <c r="X391" s="9">
        <f>IF($B391="","",IF(V391+W391=0,"",V391/(V391+W391)))</f>
        <v/>
      </c>
      <c r="Y391" s="17">
        <f>IF(X391="","",IF(X391&gt;=Setup!$C$7,"PASS","FAIL"))</f>
        <v/>
      </c>
      <c r="Z391" s="17">
        <f>IF($B391="","",IF(W391=0,"",IF(COUNTIF(Findings!$B$6:$B$305,$A391)&gt;=W391,"OK","LOG FINDING")))</f>
        <v/>
      </c>
    </row>
    <row r="392" spans="1:26">
      <c r="A392" s="17">
        <f>IF($B392="","","A-1387")</f>
        <v/>
      </c>
      <c r="B392" s="24"/>
      <c r="C392" s="23"/>
      <c r="D392" s="28"/>
      <c r="E392" s="23"/>
      <c r="F392" s="23"/>
      <c r="G392" s="28"/>
      <c r="H392" s="28"/>
      <c r="I392" s="28"/>
      <c r="J392" s="28"/>
      <c r="K392" s="28"/>
      <c r="L392" s="28"/>
      <c r="M392" s="28"/>
      <c r="N392" s="28"/>
      <c r="O392" s="28"/>
      <c r="P392" s="28"/>
      <c r="Q392" s="28"/>
      <c r="R392" s="28"/>
      <c r="S392" s="28"/>
      <c r="T392" s="28"/>
      <c r="U392" s="28"/>
      <c r="V392" s="17">
        <f>IF($B392="","",COUNTIF(G392:U392,"OK"))</f>
        <v/>
      </c>
      <c r="W392" s="17">
        <f>IF($B392="","",COUNTIF(G392:U392,"NOK"))</f>
        <v/>
      </c>
      <c r="X392" s="9">
        <f>IF($B392="","",IF(V392+W392=0,"",V392/(V392+W392)))</f>
        <v/>
      </c>
      <c r="Y392" s="17">
        <f>IF(X392="","",IF(X392&gt;=Setup!$C$7,"PASS","FAIL"))</f>
        <v/>
      </c>
      <c r="Z392" s="17">
        <f>IF($B392="","",IF(W392=0,"",IF(COUNTIF(Findings!$B$6:$B$305,$A392)&gt;=W392,"OK","LOG FINDING")))</f>
        <v/>
      </c>
    </row>
    <row r="393" spans="1:26">
      <c r="A393" s="17">
        <f>IF($B393="","","A-1388")</f>
        <v/>
      </c>
      <c r="B393" s="24"/>
      <c r="C393" s="23"/>
      <c r="D393" s="28"/>
      <c r="E393" s="23"/>
      <c r="F393" s="23"/>
      <c r="G393" s="28"/>
      <c r="H393" s="28"/>
      <c r="I393" s="28"/>
      <c r="J393" s="28"/>
      <c r="K393" s="28"/>
      <c r="L393" s="28"/>
      <c r="M393" s="28"/>
      <c r="N393" s="28"/>
      <c r="O393" s="28"/>
      <c r="P393" s="28"/>
      <c r="Q393" s="28"/>
      <c r="R393" s="28"/>
      <c r="S393" s="28"/>
      <c r="T393" s="28"/>
      <c r="U393" s="28"/>
      <c r="V393" s="17">
        <f>IF($B393="","",COUNTIF(G393:U393,"OK"))</f>
        <v/>
      </c>
      <c r="W393" s="17">
        <f>IF($B393="","",COUNTIF(G393:U393,"NOK"))</f>
        <v/>
      </c>
      <c r="X393" s="9">
        <f>IF($B393="","",IF(V393+W393=0,"",V393/(V393+W393)))</f>
        <v/>
      </c>
      <c r="Y393" s="17">
        <f>IF(X393="","",IF(X393&gt;=Setup!$C$7,"PASS","FAIL"))</f>
        <v/>
      </c>
      <c r="Z393" s="17">
        <f>IF($B393="","",IF(W393=0,"",IF(COUNTIF(Findings!$B$6:$B$305,$A393)&gt;=W393,"OK","LOG FINDING")))</f>
        <v/>
      </c>
    </row>
    <row r="394" spans="1:26">
      <c r="A394" s="17">
        <f>IF($B394="","","A-1389")</f>
        <v/>
      </c>
      <c r="B394" s="24"/>
      <c r="C394" s="23"/>
      <c r="D394" s="28"/>
      <c r="E394" s="23"/>
      <c r="F394" s="23"/>
      <c r="G394" s="28"/>
      <c r="H394" s="28"/>
      <c r="I394" s="28"/>
      <c r="J394" s="28"/>
      <c r="K394" s="28"/>
      <c r="L394" s="28"/>
      <c r="M394" s="28"/>
      <c r="N394" s="28"/>
      <c r="O394" s="28"/>
      <c r="P394" s="28"/>
      <c r="Q394" s="28"/>
      <c r="R394" s="28"/>
      <c r="S394" s="28"/>
      <c r="T394" s="28"/>
      <c r="U394" s="28"/>
      <c r="V394" s="17">
        <f>IF($B394="","",COUNTIF(G394:U394,"OK"))</f>
        <v/>
      </c>
      <c r="W394" s="17">
        <f>IF($B394="","",COUNTIF(G394:U394,"NOK"))</f>
        <v/>
      </c>
      <c r="X394" s="9">
        <f>IF($B394="","",IF(V394+W394=0,"",V394/(V394+W394)))</f>
        <v/>
      </c>
      <c r="Y394" s="17">
        <f>IF(X394="","",IF(X394&gt;=Setup!$C$7,"PASS","FAIL"))</f>
        <v/>
      </c>
      <c r="Z394" s="17">
        <f>IF($B394="","",IF(W394=0,"",IF(COUNTIF(Findings!$B$6:$B$305,$A394)&gt;=W394,"OK","LOG FINDING")))</f>
        <v/>
      </c>
    </row>
    <row r="395" spans="1:26">
      <c r="A395" s="17">
        <f>IF($B395="","","A-1390")</f>
        <v/>
      </c>
      <c r="B395" s="24"/>
      <c r="C395" s="23"/>
      <c r="D395" s="28"/>
      <c r="E395" s="23"/>
      <c r="F395" s="23"/>
      <c r="G395" s="28"/>
      <c r="H395" s="28"/>
      <c r="I395" s="28"/>
      <c r="J395" s="28"/>
      <c r="K395" s="28"/>
      <c r="L395" s="28"/>
      <c r="M395" s="28"/>
      <c r="N395" s="28"/>
      <c r="O395" s="28"/>
      <c r="P395" s="28"/>
      <c r="Q395" s="28"/>
      <c r="R395" s="28"/>
      <c r="S395" s="28"/>
      <c r="T395" s="28"/>
      <c r="U395" s="28"/>
      <c r="V395" s="17">
        <f>IF($B395="","",COUNTIF(G395:U395,"OK"))</f>
        <v/>
      </c>
      <c r="W395" s="17">
        <f>IF($B395="","",COUNTIF(G395:U395,"NOK"))</f>
        <v/>
      </c>
      <c r="X395" s="9">
        <f>IF($B395="","",IF(V395+W395=0,"",V395/(V395+W395)))</f>
        <v/>
      </c>
      <c r="Y395" s="17">
        <f>IF(X395="","",IF(X395&gt;=Setup!$C$7,"PASS","FAIL"))</f>
        <v/>
      </c>
      <c r="Z395" s="17">
        <f>IF($B395="","",IF(W395=0,"",IF(COUNTIF(Findings!$B$6:$B$305,$A395)&gt;=W395,"OK","LOG FINDING")))</f>
        <v/>
      </c>
    </row>
    <row r="396" spans="1:26">
      <c r="A396" s="17">
        <f>IF($B396="","","A-1391")</f>
        <v/>
      </c>
      <c r="B396" s="24"/>
      <c r="C396" s="23"/>
      <c r="D396" s="28"/>
      <c r="E396" s="23"/>
      <c r="F396" s="23"/>
      <c r="G396" s="28"/>
      <c r="H396" s="28"/>
      <c r="I396" s="28"/>
      <c r="J396" s="28"/>
      <c r="K396" s="28"/>
      <c r="L396" s="28"/>
      <c r="M396" s="28"/>
      <c r="N396" s="28"/>
      <c r="O396" s="28"/>
      <c r="P396" s="28"/>
      <c r="Q396" s="28"/>
      <c r="R396" s="28"/>
      <c r="S396" s="28"/>
      <c r="T396" s="28"/>
      <c r="U396" s="28"/>
      <c r="V396" s="17">
        <f>IF($B396="","",COUNTIF(G396:U396,"OK"))</f>
        <v/>
      </c>
      <c r="W396" s="17">
        <f>IF($B396="","",COUNTIF(G396:U396,"NOK"))</f>
        <v/>
      </c>
      <c r="X396" s="9">
        <f>IF($B396="","",IF(V396+W396=0,"",V396/(V396+W396)))</f>
        <v/>
      </c>
      <c r="Y396" s="17">
        <f>IF(X396="","",IF(X396&gt;=Setup!$C$7,"PASS","FAIL"))</f>
        <v/>
      </c>
      <c r="Z396" s="17">
        <f>IF($B396="","",IF(W396=0,"",IF(COUNTIF(Findings!$B$6:$B$305,$A396)&gt;=W396,"OK","LOG FINDING")))</f>
        <v/>
      </c>
    </row>
    <row r="397" spans="1:26">
      <c r="A397" s="17">
        <f>IF($B397="","","A-1392")</f>
        <v/>
      </c>
      <c r="B397" s="24"/>
      <c r="C397" s="23"/>
      <c r="D397" s="28"/>
      <c r="E397" s="23"/>
      <c r="F397" s="23"/>
      <c r="G397" s="28"/>
      <c r="H397" s="28"/>
      <c r="I397" s="28"/>
      <c r="J397" s="28"/>
      <c r="K397" s="28"/>
      <c r="L397" s="28"/>
      <c r="M397" s="28"/>
      <c r="N397" s="28"/>
      <c r="O397" s="28"/>
      <c r="P397" s="28"/>
      <c r="Q397" s="28"/>
      <c r="R397" s="28"/>
      <c r="S397" s="28"/>
      <c r="T397" s="28"/>
      <c r="U397" s="28"/>
      <c r="V397" s="17">
        <f>IF($B397="","",COUNTIF(G397:U397,"OK"))</f>
        <v/>
      </c>
      <c r="W397" s="17">
        <f>IF($B397="","",COUNTIF(G397:U397,"NOK"))</f>
        <v/>
      </c>
      <c r="X397" s="9">
        <f>IF($B397="","",IF(V397+W397=0,"",V397/(V397+W397)))</f>
        <v/>
      </c>
      <c r="Y397" s="17">
        <f>IF(X397="","",IF(X397&gt;=Setup!$C$7,"PASS","FAIL"))</f>
        <v/>
      </c>
      <c r="Z397" s="17">
        <f>IF($B397="","",IF(W397=0,"",IF(COUNTIF(Findings!$B$6:$B$305,$A397)&gt;=W397,"OK","LOG FINDING")))</f>
        <v/>
      </c>
    </row>
    <row r="398" spans="1:26">
      <c r="A398" s="17">
        <f>IF($B398="","","A-1393")</f>
        <v/>
      </c>
      <c r="B398" s="24"/>
      <c r="C398" s="23"/>
      <c r="D398" s="28"/>
      <c r="E398" s="23"/>
      <c r="F398" s="23"/>
      <c r="G398" s="28"/>
      <c r="H398" s="28"/>
      <c r="I398" s="28"/>
      <c r="J398" s="28"/>
      <c r="K398" s="28"/>
      <c r="L398" s="28"/>
      <c r="M398" s="28"/>
      <c r="N398" s="28"/>
      <c r="O398" s="28"/>
      <c r="P398" s="28"/>
      <c r="Q398" s="28"/>
      <c r="R398" s="28"/>
      <c r="S398" s="28"/>
      <c r="T398" s="28"/>
      <c r="U398" s="28"/>
      <c r="V398" s="17">
        <f>IF($B398="","",COUNTIF(G398:U398,"OK"))</f>
        <v/>
      </c>
      <c r="W398" s="17">
        <f>IF($B398="","",COUNTIF(G398:U398,"NOK"))</f>
        <v/>
      </c>
      <c r="X398" s="9">
        <f>IF($B398="","",IF(V398+W398=0,"",V398/(V398+W398)))</f>
        <v/>
      </c>
      <c r="Y398" s="17">
        <f>IF(X398="","",IF(X398&gt;=Setup!$C$7,"PASS","FAIL"))</f>
        <v/>
      </c>
      <c r="Z398" s="17">
        <f>IF($B398="","",IF(W398=0,"",IF(COUNTIF(Findings!$B$6:$B$305,$A398)&gt;=W398,"OK","LOG FINDING")))</f>
        <v/>
      </c>
    </row>
    <row r="399" spans="1:26">
      <c r="A399" s="17">
        <f>IF($B399="","","A-1394")</f>
        <v/>
      </c>
      <c r="B399" s="24"/>
      <c r="C399" s="23"/>
      <c r="D399" s="28"/>
      <c r="E399" s="23"/>
      <c r="F399" s="23"/>
      <c r="G399" s="28"/>
      <c r="H399" s="28"/>
      <c r="I399" s="28"/>
      <c r="J399" s="28"/>
      <c r="K399" s="28"/>
      <c r="L399" s="28"/>
      <c r="M399" s="28"/>
      <c r="N399" s="28"/>
      <c r="O399" s="28"/>
      <c r="P399" s="28"/>
      <c r="Q399" s="28"/>
      <c r="R399" s="28"/>
      <c r="S399" s="28"/>
      <c r="T399" s="28"/>
      <c r="U399" s="28"/>
      <c r="V399" s="17">
        <f>IF($B399="","",COUNTIF(G399:U399,"OK"))</f>
        <v/>
      </c>
      <c r="W399" s="17">
        <f>IF($B399="","",COUNTIF(G399:U399,"NOK"))</f>
        <v/>
      </c>
      <c r="X399" s="9">
        <f>IF($B399="","",IF(V399+W399=0,"",V399/(V399+W399)))</f>
        <v/>
      </c>
      <c r="Y399" s="17">
        <f>IF(X399="","",IF(X399&gt;=Setup!$C$7,"PASS","FAIL"))</f>
        <v/>
      </c>
      <c r="Z399" s="17">
        <f>IF($B399="","",IF(W399=0,"",IF(COUNTIF(Findings!$B$6:$B$305,$A399)&gt;=W399,"OK","LOG FINDING")))</f>
        <v/>
      </c>
    </row>
    <row r="400" spans="1:26">
      <c r="A400" s="17">
        <f>IF($B400="","","A-1395")</f>
        <v/>
      </c>
      <c r="B400" s="24"/>
      <c r="C400" s="23"/>
      <c r="D400" s="28"/>
      <c r="E400" s="23"/>
      <c r="F400" s="23"/>
      <c r="G400" s="28"/>
      <c r="H400" s="28"/>
      <c r="I400" s="28"/>
      <c r="J400" s="28"/>
      <c r="K400" s="28"/>
      <c r="L400" s="28"/>
      <c r="M400" s="28"/>
      <c r="N400" s="28"/>
      <c r="O400" s="28"/>
      <c r="P400" s="28"/>
      <c r="Q400" s="28"/>
      <c r="R400" s="28"/>
      <c r="S400" s="28"/>
      <c r="T400" s="28"/>
      <c r="U400" s="28"/>
      <c r="V400" s="17">
        <f>IF($B400="","",COUNTIF(G400:U400,"OK"))</f>
        <v/>
      </c>
      <c r="W400" s="17">
        <f>IF($B400="","",COUNTIF(G400:U400,"NOK"))</f>
        <v/>
      </c>
      <c r="X400" s="9">
        <f>IF($B400="","",IF(V400+W400=0,"",V400/(V400+W400)))</f>
        <v/>
      </c>
      <c r="Y400" s="17">
        <f>IF(X400="","",IF(X400&gt;=Setup!$C$7,"PASS","FAIL"))</f>
        <v/>
      </c>
      <c r="Z400" s="17">
        <f>IF($B400="","",IF(W400=0,"",IF(COUNTIF(Findings!$B$6:$B$305,$A400)&gt;=W400,"OK","LOG FINDING")))</f>
        <v/>
      </c>
    </row>
    <row r="401" spans="1:26">
      <c r="A401" s="17">
        <f>IF($B401="","","A-1396")</f>
        <v/>
      </c>
      <c r="B401" s="24"/>
      <c r="C401" s="23"/>
      <c r="D401" s="28"/>
      <c r="E401" s="23"/>
      <c r="F401" s="23"/>
      <c r="G401" s="28"/>
      <c r="H401" s="28"/>
      <c r="I401" s="28"/>
      <c r="J401" s="28"/>
      <c r="K401" s="28"/>
      <c r="L401" s="28"/>
      <c r="M401" s="28"/>
      <c r="N401" s="28"/>
      <c r="O401" s="28"/>
      <c r="P401" s="28"/>
      <c r="Q401" s="28"/>
      <c r="R401" s="28"/>
      <c r="S401" s="28"/>
      <c r="T401" s="28"/>
      <c r="U401" s="28"/>
      <c r="V401" s="17">
        <f>IF($B401="","",COUNTIF(G401:U401,"OK"))</f>
        <v/>
      </c>
      <c r="W401" s="17">
        <f>IF($B401="","",COUNTIF(G401:U401,"NOK"))</f>
        <v/>
      </c>
      <c r="X401" s="9">
        <f>IF($B401="","",IF(V401+W401=0,"",V401/(V401+W401)))</f>
        <v/>
      </c>
      <c r="Y401" s="17">
        <f>IF(X401="","",IF(X401&gt;=Setup!$C$7,"PASS","FAIL"))</f>
        <v/>
      </c>
      <c r="Z401" s="17">
        <f>IF($B401="","",IF(W401=0,"",IF(COUNTIF(Findings!$B$6:$B$305,$A401)&gt;=W401,"OK","LOG FINDING")))</f>
        <v/>
      </c>
    </row>
    <row r="402" spans="1:26">
      <c r="A402" s="17">
        <f>IF($B402="","","A-1397")</f>
        <v/>
      </c>
      <c r="B402" s="24"/>
      <c r="C402" s="23"/>
      <c r="D402" s="28"/>
      <c r="E402" s="23"/>
      <c r="F402" s="23"/>
      <c r="G402" s="28"/>
      <c r="H402" s="28"/>
      <c r="I402" s="28"/>
      <c r="J402" s="28"/>
      <c r="K402" s="28"/>
      <c r="L402" s="28"/>
      <c r="M402" s="28"/>
      <c r="N402" s="28"/>
      <c r="O402" s="28"/>
      <c r="P402" s="28"/>
      <c r="Q402" s="28"/>
      <c r="R402" s="28"/>
      <c r="S402" s="28"/>
      <c r="T402" s="28"/>
      <c r="U402" s="28"/>
      <c r="V402" s="17">
        <f>IF($B402="","",COUNTIF(G402:U402,"OK"))</f>
        <v/>
      </c>
      <c r="W402" s="17">
        <f>IF($B402="","",COUNTIF(G402:U402,"NOK"))</f>
        <v/>
      </c>
      <c r="X402" s="9">
        <f>IF($B402="","",IF(V402+W402=0,"",V402/(V402+W402)))</f>
        <v/>
      </c>
      <c r="Y402" s="17">
        <f>IF(X402="","",IF(X402&gt;=Setup!$C$7,"PASS","FAIL"))</f>
        <v/>
      </c>
      <c r="Z402" s="17">
        <f>IF($B402="","",IF(W402=0,"",IF(COUNTIF(Findings!$B$6:$B$305,$A402)&gt;=W402,"OK","LOG FINDING")))</f>
        <v/>
      </c>
    </row>
    <row r="403" spans="1:26">
      <c r="A403" s="17">
        <f>IF($B403="","","A-1398")</f>
        <v/>
      </c>
      <c r="B403" s="24"/>
      <c r="C403" s="23"/>
      <c r="D403" s="28"/>
      <c r="E403" s="23"/>
      <c r="F403" s="23"/>
      <c r="G403" s="28"/>
      <c r="H403" s="28"/>
      <c r="I403" s="28"/>
      <c r="J403" s="28"/>
      <c r="K403" s="28"/>
      <c r="L403" s="28"/>
      <c r="M403" s="28"/>
      <c r="N403" s="28"/>
      <c r="O403" s="28"/>
      <c r="P403" s="28"/>
      <c r="Q403" s="28"/>
      <c r="R403" s="28"/>
      <c r="S403" s="28"/>
      <c r="T403" s="28"/>
      <c r="U403" s="28"/>
      <c r="V403" s="17">
        <f>IF($B403="","",COUNTIF(G403:U403,"OK"))</f>
        <v/>
      </c>
      <c r="W403" s="17">
        <f>IF($B403="","",COUNTIF(G403:U403,"NOK"))</f>
        <v/>
      </c>
      <c r="X403" s="9">
        <f>IF($B403="","",IF(V403+W403=0,"",V403/(V403+W403)))</f>
        <v/>
      </c>
      <c r="Y403" s="17">
        <f>IF(X403="","",IF(X403&gt;=Setup!$C$7,"PASS","FAIL"))</f>
        <v/>
      </c>
      <c r="Z403" s="17">
        <f>IF($B403="","",IF(W403=0,"",IF(COUNTIF(Findings!$B$6:$B$305,$A403)&gt;=W403,"OK","LOG FINDING")))</f>
        <v/>
      </c>
    </row>
    <row r="404" spans="1:26">
      <c r="A404" s="17">
        <f>IF($B404="","","A-1399")</f>
        <v/>
      </c>
      <c r="B404" s="24"/>
      <c r="C404" s="23"/>
      <c r="D404" s="28"/>
      <c r="E404" s="23"/>
      <c r="F404" s="23"/>
      <c r="G404" s="28"/>
      <c r="H404" s="28"/>
      <c r="I404" s="28"/>
      <c r="J404" s="28"/>
      <c r="K404" s="28"/>
      <c r="L404" s="28"/>
      <c r="M404" s="28"/>
      <c r="N404" s="28"/>
      <c r="O404" s="28"/>
      <c r="P404" s="28"/>
      <c r="Q404" s="28"/>
      <c r="R404" s="28"/>
      <c r="S404" s="28"/>
      <c r="T404" s="28"/>
      <c r="U404" s="28"/>
      <c r="V404" s="17">
        <f>IF($B404="","",COUNTIF(G404:U404,"OK"))</f>
        <v/>
      </c>
      <c r="W404" s="17">
        <f>IF($B404="","",COUNTIF(G404:U404,"NOK"))</f>
        <v/>
      </c>
      <c r="X404" s="9">
        <f>IF($B404="","",IF(V404+W404=0,"",V404/(V404+W404)))</f>
        <v/>
      </c>
      <c r="Y404" s="17">
        <f>IF(X404="","",IF(X404&gt;=Setup!$C$7,"PASS","FAIL"))</f>
        <v/>
      </c>
      <c r="Z404" s="17">
        <f>IF($B404="","",IF(W404=0,"",IF(COUNTIF(Findings!$B$6:$B$305,$A404)&gt;=W404,"OK","LOG FINDING")))</f>
        <v/>
      </c>
    </row>
    <row r="405" spans="1:26">
      <c r="A405" s="17">
        <f>IF($B405="","","A-1400")</f>
        <v/>
      </c>
      <c r="B405" s="24"/>
      <c r="C405" s="23"/>
      <c r="D405" s="28"/>
      <c r="E405" s="23"/>
      <c r="F405" s="23"/>
      <c r="G405" s="28"/>
      <c r="H405" s="28"/>
      <c r="I405" s="28"/>
      <c r="J405" s="28"/>
      <c r="K405" s="28"/>
      <c r="L405" s="28"/>
      <c r="M405" s="28"/>
      <c r="N405" s="28"/>
      <c r="O405" s="28"/>
      <c r="P405" s="28"/>
      <c r="Q405" s="28"/>
      <c r="R405" s="28"/>
      <c r="S405" s="28"/>
      <c r="T405" s="28"/>
      <c r="U405" s="28"/>
      <c r="V405" s="17">
        <f>IF($B405="","",COUNTIF(G405:U405,"OK"))</f>
        <v/>
      </c>
      <c r="W405" s="17">
        <f>IF($B405="","",COUNTIF(G405:U405,"NOK"))</f>
        <v/>
      </c>
      <c r="X405" s="9">
        <f>IF($B405="","",IF(V405+W405=0,"",V405/(V405+W405)))</f>
        <v/>
      </c>
      <c r="Y405" s="17">
        <f>IF(X405="","",IF(X405&gt;=Setup!$C$7,"PASS","FAIL"))</f>
        <v/>
      </c>
      <c r="Z405" s="17">
        <f>IF($B405="","",IF(W405=0,"",IF(COUNTIF(Findings!$B$6:$B$305,$A405)&gt;=W405,"OK","LOG FINDING")))</f>
        <v/>
      </c>
    </row>
  </sheetData>
  <autoFilter ref="A5:Z405"/>
  <mergeCells count="2">
    <mergeCell ref="A1:Z1"/>
    <mergeCell ref="A2:Z2"/>
  </mergeCells>
  <conditionalFormatting sqref="G6:U405">
    <cfRule type="cellIs" dxfId="0" priority="1" operator="equal">
      <formula>"NOK"</formula>
    </cfRule>
    <cfRule type="cellIs" dxfId="1" priority="2" operator="equal">
      <formula>"OK"</formula>
    </cfRule>
    <cfRule type="cellIs" dxfId="2" priority="3" operator="equal">
      <formula>"N/A"</formula>
    </cfRule>
  </conditionalFormatting>
  <conditionalFormatting sqref="Y6:Y405">
    <cfRule type="cellIs" dxfId="3" priority="4" operator="equal">
      <formula>"PASS"</formula>
    </cfRule>
    <cfRule type="cellIs" dxfId="0" priority="5" operator="equal">
      <formula>"FAIL"</formula>
    </cfRule>
  </conditionalFormatting>
  <conditionalFormatting sqref="Z6:Z405">
    <cfRule type="cellIs" dxfId="0" priority="6" operator="equal">
      <formula>"LOG FINDING"</formula>
    </cfRule>
    <cfRule type="cellIs" dxfId="3" priority="7" operator="equal">
      <formula>"OK"</formula>
    </cfRule>
  </conditionalFormatting>
  <dataValidations count="6">
    <dataValidation type="list" allowBlank="1" showInputMessage="1" showErrorMessage="1" sqref="C6:C405">
      <formula1>Setup!$B$17:$B$22</formula1>
    </dataValidation>
    <dataValidation type="list" allowBlank="1" showInputMessage="1" showErrorMessage="1" sqref="D6:D405">
      <formula1>Setup!$A$12:$A$14</formula1>
    </dataValidation>
    <dataValidation type="list" allowBlank="1" showInputMessage="1" showErrorMessage="1" sqref="E6:E405">
      <formula1>Setup!$B$26:$B$33</formula1>
    </dataValidation>
    <dataValidation type="list" allowBlank="1" showInputMessage="1" showErrorMessage="1" sqref="F6:F405">
      <formula1>Setup!$F$6:$F$8</formula1>
    </dataValidation>
    <dataValidation type="list" allowBlank="1" showInputMessage="1" showErrorMessage="1" error="Pick OK, NOK or N/A." sqref="G6:U405">
      <formula1>Setup!$H$6:$H$8</formula1>
    </dataValidation>
    <dataValidation type="date" operator="greaterThanOrEqual" allowBlank="1" showInputMessage="1" showErrorMessage="1" error="Enter a valid date." sqref="B6:B405">
      <formula1>36526</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305"/>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2" width="9.7109375" customWidth="1"/>
    <col min="3" max="3" width="7.7109375" customWidth="1"/>
    <col min="4" max="4" width="11.7109375" customWidth="1"/>
    <col min="5" max="5" width="16.7109375" customWidth="1"/>
    <col min="6" max="6" width="7.7109375" customWidth="1"/>
    <col min="7" max="7" width="40.7109375" customWidth="1"/>
    <col min="8" max="10" width="30.7109375" customWidth="1"/>
    <col min="11" max="11" width="13.7109375" customWidth="1"/>
    <col min="12" max="12" width="11.7109375" customWidth="1"/>
    <col min="13" max="13" width="12.7109375" customWidth="1"/>
    <col min="14" max="14" width="11.7109375" customWidth="1"/>
    <col min="15" max="15" width="9.7109375" customWidth="1"/>
    <col min="16" max="16" width="12.7109375" customWidth="1"/>
    <col min="17" max="17" width="7.7109375" customWidth="1"/>
  </cols>
  <sheetData>
    <row r="1" spans="1:17" ht="33.75" customHeight="1">
      <c r="A1" s="1" t="s">
        <v>126</v>
      </c>
      <c r="B1" s="1"/>
      <c r="C1" s="1"/>
      <c r="D1" s="1"/>
      <c r="E1" s="1"/>
      <c r="F1" s="1"/>
      <c r="G1" s="1"/>
      <c r="H1" s="1"/>
      <c r="I1" s="1"/>
      <c r="J1" s="1"/>
      <c r="K1" s="1"/>
      <c r="L1" s="1"/>
      <c r="M1" s="1"/>
      <c r="N1" s="1"/>
      <c r="O1" s="1"/>
      <c r="P1" s="1"/>
      <c r="Q1" s="1"/>
    </row>
    <row r="2" spans="1:17">
      <c r="A2" s="2" t="s">
        <v>127</v>
      </c>
      <c r="B2" s="2"/>
      <c r="C2" s="2"/>
      <c r="D2" s="2"/>
      <c r="E2" s="2"/>
      <c r="F2" s="2"/>
      <c r="G2" s="2"/>
      <c r="H2" s="2"/>
      <c r="I2" s="2"/>
      <c r="J2" s="2"/>
      <c r="K2" s="2"/>
      <c r="L2" s="2"/>
      <c r="M2" s="2"/>
      <c r="N2" s="2"/>
      <c r="O2" s="2"/>
      <c r="P2" s="2"/>
      <c r="Q2" s="2"/>
    </row>
    <row r="3" spans="1:17">
      <c r="A3" s="27" t="s">
        <v>128</v>
      </c>
    </row>
    <row r="5" spans="1:17" ht="30" customHeight="1">
      <c r="A5" s="16" t="s">
        <v>129</v>
      </c>
      <c r="B5" s="16" t="s">
        <v>119</v>
      </c>
      <c r="C5" s="16" t="s">
        <v>55</v>
      </c>
      <c r="D5" s="16" t="s">
        <v>130</v>
      </c>
      <c r="E5" s="16" t="s">
        <v>121</v>
      </c>
      <c r="F5" s="16" t="s">
        <v>31</v>
      </c>
      <c r="G5" s="16" t="s">
        <v>131</v>
      </c>
      <c r="H5" s="16" t="s">
        <v>132</v>
      </c>
      <c r="I5" s="16" t="s">
        <v>133</v>
      </c>
      <c r="J5" s="16" t="s">
        <v>134</v>
      </c>
      <c r="K5" s="16" t="s">
        <v>135</v>
      </c>
      <c r="L5" s="16" t="s">
        <v>136</v>
      </c>
      <c r="M5" s="16" t="s">
        <v>137</v>
      </c>
      <c r="N5" s="16" t="s">
        <v>138</v>
      </c>
      <c r="O5" s="16" t="s">
        <v>139</v>
      </c>
      <c r="P5" s="16" t="s">
        <v>140</v>
      </c>
      <c r="Q5" s="16" t="s">
        <v>46</v>
      </c>
    </row>
    <row r="6" spans="1:17">
      <c r="A6" s="17" t="str">
        <f>IF($B6="","","F-1001")</f>
        <v>F-1001</v>
      </c>
      <c r="B6" s="28" t="s">
        <v>141</v>
      </c>
      <c r="C6" s="28" t="s">
        <v>61</v>
      </c>
      <c r="D6" s="8">
        <f>IF($B6="","",IFERROR(INDEX(Audit_Log!$B$6:$B$405,MATCH($B6,Audit_Log!$A$6:$A$405,0)),""))</f>
        <v>46028.0</v>
      </c>
      <c r="E6" s="18" t="str">
        <f>IF($B6="","",IFERROR(INDEX(Audit_Log!$C$6:$C$405,MATCH($B6,Audit_Log!$A$6:$A$405,0)),""))</f>
        <v>Packaging</v>
      </c>
      <c r="F6" s="17" t="str">
        <f>IF($B6="","",IFERROR(INDEX(Audit_Log!$D$6:$D$405,MATCH($B6,Audit_Log!$A$6:$A$405,0)),""))</f>
        <v>L1</v>
      </c>
      <c r="G6" s="30" t="str">
        <f>IF($C6="","",IFERROR(INDEX(Checklist!$D$6:$D$20,MATCH($C6,Checklist!$B$6:$B$20,0)),""))</f>
        <v>Is the current revision of the work instruction posted at the station?</v>
      </c>
      <c r="H6" s="29" t="s">
        <v>142</v>
      </c>
      <c r="I6" s="29" t="s">
        <v>143</v>
      </c>
      <c r="J6" s="29" t="s">
        <v>144</v>
      </c>
      <c r="K6" s="23" t="s">
        <v>38</v>
      </c>
      <c r="L6" s="24">
        <v>46035</v>
      </c>
      <c r="M6" s="28" t="s">
        <v>48</v>
      </c>
      <c r="N6" s="24">
        <v>46034</v>
      </c>
      <c r="O6" s="17">
        <f>IF(OR($B6="",$L6="",$M6="Closed"),"",MAX(0,Setup!$C$5-$L6))</f>
        <v/>
      </c>
      <c r="P6" s="17" t="str">
        <f>IF($B6="","",IF($M6="Closed","CLOSED",IF($L6="","NO DUE DATE",IF(Setup!$C$5&gt;$L6,"OVERDUE",IF($L6-Setup!$C$5&lt;=7,"DUE SOON","OPEN")))))</f>
        <v>CLOSED</v>
      </c>
      <c r="Q6" s="17">
        <f>IF($B6="","",IF($M6="Closed",0,1))</f>
        <v>0.0</v>
      </c>
    </row>
    <row r="7" spans="1:17">
      <c r="A7" s="17" t="str">
        <f>IF($B7="","","F-1002")</f>
        <v>F-1002</v>
      </c>
      <c r="B7" s="28" t="s">
        <v>141</v>
      </c>
      <c r="C7" s="28" t="s">
        <v>79</v>
      </c>
      <c r="D7" s="8">
        <f>IF($B7="","",IFERROR(INDEX(Audit_Log!$B$6:$B$405,MATCH($B7,Audit_Log!$A$6:$A$405,0)),""))</f>
        <v>46028.0</v>
      </c>
      <c r="E7" s="18" t="str">
        <f>IF($B7="","",IFERROR(INDEX(Audit_Log!$C$6:$C$405,MATCH($B7,Audit_Log!$A$6:$A$405,0)),""))</f>
        <v>Packaging</v>
      </c>
      <c r="F7" s="17" t="str">
        <f>IF($B7="","",IFERROR(INDEX(Audit_Log!$D$6:$D$405,MATCH($B7,Audit_Log!$A$6:$A$405,0)),""))</f>
        <v>L1</v>
      </c>
      <c r="G7" s="30" t="str">
        <f>IF($C7="","",IFERROR(INDEX(Checklist!$D$6:$D$20,MATCH($C7,Checklist!$B$6:$B$20,0)),""))</f>
        <v>Are in-process checks done at the defined frequency and recorded?</v>
      </c>
      <c r="H7" s="29" t="s">
        <v>145</v>
      </c>
      <c r="I7" s="29" t="s">
        <v>146</v>
      </c>
      <c r="J7" s="29" t="s">
        <v>147</v>
      </c>
      <c r="K7" s="23" t="s">
        <v>38</v>
      </c>
      <c r="L7" s="24">
        <v>46028</v>
      </c>
      <c r="M7" s="28" t="s">
        <v>48</v>
      </c>
      <c r="N7" s="24">
        <v>46028</v>
      </c>
      <c r="O7" s="17">
        <f>IF(OR($B7="",$L7="",$M7="Closed"),"",MAX(0,Setup!$C$5-$L7))</f>
        <v/>
      </c>
      <c r="P7" s="17" t="str">
        <f>IF($B7="","",IF($M7="Closed","CLOSED",IF($L7="","NO DUE DATE",IF(Setup!$C$5&gt;$L7,"OVERDUE",IF($L7-Setup!$C$5&lt;=7,"DUE SOON","OPEN")))))</f>
        <v>CLOSED</v>
      </c>
      <c r="Q7" s="17">
        <f>IF($B7="","",IF($M7="Closed",0,1))</f>
        <v>0.0</v>
      </c>
    </row>
    <row r="8" spans="1:17">
      <c r="A8" s="17" t="str">
        <f>IF($B8="","","F-1003")</f>
        <v>F-1003</v>
      </c>
      <c r="B8" s="28" t="s">
        <v>148</v>
      </c>
      <c r="C8" s="28" t="s">
        <v>68</v>
      </c>
      <c r="D8" s="8">
        <f>IF($B8="","",IFERROR(INDEX(Audit_Log!$B$6:$B$405,MATCH($B8,Audit_Log!$A$6:$A$405,0)),""))</f>
        <v>46029.0</v>
      </c>
      <c r="E8" s="18" t="str">
        <f>IF($B8="","",IFERROR(INDEX(Audit_Log!$C$6:$C$405,MATCH($B8,Audit_Log!$A$6:$A$405,0)),""))</f>
        <v>Assembly Line 1</v>
      </c>
      <c r="F8" s="17" t="str">
        <f>IF($B8="","",IFERROR(INDEX(Audit_Log!$D$6:$D$405,MATCH($B8,Audit_Log!$A$6:$A$405,0)),""))</f>
        <v>L1</v>
      </c>
      <c r="G8" s="30" t="str">
        <f>IF($C8="","",IFERROR(INDEX(Checklist!$D$6:$D$20,MATCH($C8,Checklist!$B$6:$B$20,0)),""))</f>
        <v>Is the reaction plan visible, and does the operator know what to do with a nonconforming part?</v>
      </c>
      <c r="H8" s="29" t="s">
        <v>149</v>
      </c>
      <c r="I8" s="29"/>
      <c r="J8" s="29" t="s">
        <v>150</v>
      </c>
      <c r="K8" s="23" t="s">
        <v>35</v>
      </c>
      <c r="L8" s="24">
        <v>46036</v>
      </c>
      <c r="M8" s="28" t="s">
        <v>48</v>
      </c>
      <c r="N8" s="24">
        <v>46036</v>
      </c>
      <c r="O8" s="17">
        <f>IF(OR($B8="",$L8="",$M8="Closed"),"",MAX(0,Setup!$C$5-$L8))</f>
        <v/>
      </c>
      <c r="P8" s="17" t="str">
        <f>IF($B8="","",IF($M8="Closed","CLOSED",IF($L8="","NO DUE DATE",IF(Setup!$C$5&gt;$L8,"OVERDUE",IF($L8-Setup!$C$5&lt;=7,"DUE SOON","OPEN")))))</f>
        <v>CLOSED</v>
      </c>
      <c r="Q8" s="17">
        <f>IF($B8="","",IF($M8="Closed",0,1))</f>
        <v>0.0</v>
      </c>
    </row>
    <row r="9" spans="1:17">
      <c r="A9" s="17" t="str">
        <f>IF($B9="","","F-1004")</f>
        <v>F-1004</v>
      </c>
      <c r="B9" s="28" t="s">
        <v>148</v>
      </c>
      <c r="C9" s="28" t="s">
        <v>93</v>
      </c>
      <c r="D9" s="8">
        <f>IF($B9="","",IFERROR(INDEX(Audit_Log!$B$6:$B$405,MATCH($B9,Audit_Log!$A$6:$A$405,0)),""))</f>
        <v>46029.0</v>
      </c>
      <c r="E9" s="18" t="str">
        <f>IF($B9="","",IFERROR(INDEX(Audit_Log!$C$6:$C$405,MATCH($B9,Audit_Log!$A$6:$A$405,0)),""))</f>
        <v>Assembly Line 1</v>
      </c>
      <c r="F9" s="17" t="str">
        <f>IF($B9="","",IFERROR(INDEX(Audit_Log!$D$6:$D$405,MATCH($B9,Audit_Log!$A$6:$A$405,0)),""))</f>
        <v>L1</v>
      </c>
      <c r="G9" s="30" t="str">
        <f>IF($C9="","",IFERROR(INDEX(Checklist!$D$6:$D$20,MATCH($C9,Checklist!$B$6:$B$20,0)),""))</f>
        <v>Are all special characteristics (CC/SC) at this station checked as specified?</v>
      </c>
      <c r="H9" s="29" t="s">
        <v>145</v>
      </c>
      <c r="I9" s="29"/>
      <c r="J9" s="29" t="s">
        <v>150</v>
      </c>
      <c r="K9" s="23" t="s">
        <v>35</v>
      </c>
      <c r="L9" s="24">
        <v>46036</v>
      </c>
      <c r="M9" s="28" t="s">
        <v>48</v>
      </c>
      <c r="N9" s="24">
        <v>46035</v>
      </c>
      <c r="O9" s="17">
        <f>IF(OR($B9="",$L9="",$M9="Closed"),"",MAX(0,Setup!$C$5-$L9))</f>
        <v/>
      </c>
      <c r="P9" s="17" t="str">
        <f>IF($B9="","",IF($M9="Closed","CLOSED",IF($L9="","NO DUE DATE",IF(Setup!$C$5&gt;$L9,"OVERDUE",IF($L9-Setup!$C$5&lt;=7,"DUE SOON","OPEN")))))</f>
        <v>CLOSED</v>
      </c>
      <c r="Q9" s="17">
        <f>IF($B9="","",IF($M9="Closed",0,1))</f>
        <v>0.0</v>
      </c>
    </row>
    <row r="10" spans="1:17">
      <c r="A10" s="17" t="str">
        <f>IF($B10="","","F-1005")</f>
        <v>F-1005</v>
      </c>
      <c r="B10" s="28" t="s">
        <v>151</v>
      </c>
      <c r="C10" s="28" t="s">
        <v>65</v>
      </c>
      <c r="D10" s="8">
        <f>IF($B10="","",IFERROR(INDEX(Audit_Log!$B$6:$B$405,MATCH($B10,Audit_Log!$A$6:$A$405,0)),""))</f>
        <v>46041.0</v>
      </c>
      <c r="E10" s="18" t="str">
        <f>IF($B10="","",IFERROR(INDEX(Audit_Log!$C$6:$C$405,MATCH($B10,Audit_Log!$A$6:$A$405,0)),""))</f>
        <v>Packaging</v>
      </c>
      <c r="F10" s="17" t="str">
        <f>IF($B10="","",IFERROR(INDEX(Audit_Log!$D$6:$D$405,MATCH($B10,Audit_Log!$A$6:$A$405,0)),""))</f>
        <v>L1</v>
      </c>
      <c r="G10" s="30" t="str">
        <f>IF($C10="","",IFERROR(INDEX(Checklist!$D$6:$D$20,MATCH($C10,Checklist!$B$6:$B$20,0)),""))</f>
        <v>Does the operator perform the steps in the sequence defined in the work instruction?</v>
      </c>
      <c r="H10" s="29" t="s">
        <v>145</v>
      </c>
      <c r="I10" s="29" t="s">
        <v>152</v>
      </c>
      <c r="J10" s="29" t="s">
        <v>153</v>
      </c>
      <c r="K10" s="23" t="s">
        <v>38</v>
      </c>
      <c r="L10" s="24">
        <v>46048</v>
      </c>
      <c r="M10" s="28" t="s">
        <v>48</v>
      </c>
      <c r="N10" s="24">
        <v>46047</v>
      </c>
      <c r="O10" s="17">
        <f>IF(OR($B10="",$L10="",$M10="Closed"),"",MAX(0,Setup!$C$5-$L10))</f>
        <v/>
      </c>
      <c r="P10" s="17" t="str">
        <f>IF($B10="","",IF($M10="Closed","CLOSED",IF($L10="","NO DUE DATE",IF(Setup!$C$5&gt;$L10,"OVERDUE",IF($L10-Setup!$C$5&lt;=7,"DUE SOON","OPEN")))))</f>
        <v>CLOSED</v>
      </c>
      <c r="Q10" s="17">
        <f>IF($B10="","",IF($M10="Closed",0,1))</f>
        <v>0.0</v>
      </c>
    </row>
    <row r="11" spans="1:17">
      <c r="A11" s="17" t="str">
        <f>IF($B11="","","F-1006")</f>
        <v>F-1006</v>
      </c>
      <c r="B11" s="28" t="s">
        <v>154</v>
      </c>
      <c r="C11" s="28" t="s">
        <v>71</v>
      </c>
      <c r="D11" s="8">
        <f>IF($B11="","",IFERROR(INDEX(Audit_Log!$B$6:$B$405,MATCH($B11,Audit_Log!$A$6:$A$405,0)),""))</f>
        <v>46041.0</v>
      </c>
      <c r="E11" s="18" t="str">
        <f>IF($B11="","",IFERROR(INDEX(Audit_Log!$C$6:$C$405,MATCH($B11,Audit_Log!$A$6:$A$405,0)),""))</f>
        <v>Press Line 1</v>
      </c>
      <c r="F11" s="17" t="str">
        <f>IF($B11="","",IFERROR(INDEX(Audit_Log!$D$6:$D$405,MATCH($B11,Audit_Log!$A$6:$A$405,0)),""))</f>
        <v>L1</v>
      </c>
      <c r="G11" s="30" t="str">
        <f>IF($C11="","",IFERROR(INDEX(Checklist!$D$6:$D$20,MATCH($C11,Checklist!$B$6:$B$20,0)),""))</f>
        <v>Does the batch label of the material match the production order?</v>
      </c>
      <c r="H11" s="29" t="s">
        <v>149</v>
      </c>
      <c r="I11" s="29" t="s">
        <v>155</v>
      </c>
      <c r="J11" s="29" t="s">
        <v>156</v>
      </c>
      <c r="K11" s="23" t="s">
        <v>36</v>
      </c>
      <c r="L11" s="24">
        <v>46055</v>
      </c>
      <c r="M11" s="28" t="s">
        <v>48</v>
      </c>
      <c r="N11" s="24">
        <v>46055</v>
      </c>
      <c r="O11" s="17">
        <f>IF(OR($B11="",$L11="",$M11="Closed"),"",MAX(0,Setup!$C$5-$L11))</f>
        <v/>
      </c>
      <c r="P11" s="17" t="str">
        <f>IF($B11="","",IF($M11="Closed","CLOSED",IF($L11="","NO DUE DATE",IF(Setup!$C$5&gt;$L11,"OVERDUE",IF($L11-Setup!$C$5&lt;=7,"DUE SOON","OPEN")))))</f>
        <v>CLOSED</v>
      </c>
      <c r="Q11" s="17">
        <f>IF($B11="","",IF($M11="Closed",0,1))</f>
        <v>0.0</v>
      </c>
    </row>
    <row r="12" spans="1:17">
      <c r="A12" s="17" t="str">
        <f>IF($B12="","","F-1007")</f>
        <v>F-1007</v>
      </c>
      <c r="B12" s="28" t="s">
        <v>154</v>
      </c>
      <c r="C12" s="28" t="s">
        <v>90</v>
      </c>
      <c r="D12" s="8">
        <f>IF($B12="","",IFERROR(INDEX(Audit_Log!$B$6:$B$405,MATCH($B12,Audit_Log!$A$6:$A$405,0)),""))</f>
        <v>46041.0</v>
      </c>
      <c r="E12" s="18" t="str">
        <f>IF($B12="","",IFERROR(INDEX(Audit_Log!$C$6:$C$405,MATCH($B12,Audit_Log!$A$6:$A$405,0)),""))</f>
        <v>Press Line 1</v>
      </c>
      <c r="F12" s="17" t="str">
        <f>IF($B12="","",IFERROR(INDEX(Audit_Log!$D$6:$D$405,MATCH($B12,Audit_Log!$A$6:$A$405,0)),""))</f>
        <v>L1</v>
      </c>
      <c r="G12" s="30" t="str">
        <f>IF($C12="","",IFERROR(INDEX(Checklist!$D$6:$D$20,MATCH($C12,Checklist!$B$6:$B$20,0)),""))</f>
        <v>Is the missing-part or wrong-part detection working?</v>
      </c>
      <c r="H12" s="29" t="s">
        <v>145</v>
      </c>
      <c r="I12" s="29" t="s">
        <v>152</v>
      </c>
      <c r="J12" s="29" t="s">
        <v>153</v>
      </c>
      <c r="K12" s="23" t="s">
        <v>36</v>
      </c>
      <c r="L12" s="24">
        <v>46055</v>
      </c>
      <c r="M12" s="28" t="s">
        <v>48</v>
      </c>
      <c r="N12" s="24">
        <v>46055</v>
      </c>
      <c r="O12" s="17">
        <f>IF(OR($B12="",$L12="",$M12="Closed"),"",MAX(0,Setup!$C$5-$L12))</f>
        <v/>
      </c>
      <c r="P12" s="17" t="str">
        <f>IF($B12="","",IF($M12="Closed","CLOSED",IF($L12="","NO DUE DATE",IF(Setup!$C$5&gt;$L12,"OVERDUE",IF($L12-Setup!$C$5&lt;=7,"DUE SOON","OPEN")))))</f>
        <v>CLOSED</v>
      </c>
      <c r="Q12" s="17">
        <f>IF($B12="","",IF($M12="Closed",0,1))</f>
        <v>0.0</v>
      </c>
    </row>
    <row r="13" spans="1:17">
      <c r="A13" s="17" t="str">
        <f>IF($B13="","","F-1008")</f>
        <v>F-1008</v>
      </c>
      <c r="B13" s="28" t="s">
        <v>157</v>
      </c>
      <c r="C13" s="28" t="s">
        <v>97</v>
      </c>
      <c r="D13" s="8">
        <f>IF($B13="","",IFERROR(INDEX(Audit_Log!$B$6:$B$405,MATCH($B13,Audit_Log!$A$6:$A$405,0)),""))</f>
        <v>46043.0</v>
      </c>
      <c r="E13" s="18" t="str">
        <f>IF($B13="","",IFERROR(INDEX(Audit_Log!$C$6:$C$405,MATCH($B13,Audit_Log!$A$6:$A$405,0)),""))</f>
        <v>Paint Shop</v>
      </c>
      <c r="F13" s="17" t="str">
        <f>IF($B13="","",IFERROR(INDEX(Audit_Log!$D$6:$D$405,MATCH($B13,Audit_Log!$A$6:$A$405,0)),""))</f>
        <v>L1</v>
      </c>
      <c r="G13" s="30" t="str">
        <f>IF($C13="","",IFERROR(INDEX(Checklist!$D$6:$D$20,MATCH($C13,Checklist!$B$6:$B$20,0)),""))</f>
        <v>Are tool wear and counters within the maintenance limit?</v>
      </c>
      <c r="H13" s="29" t="s">
        <v>149</v>
      </c>
      <c r="I13" s="29" t="s">
        <v>158</v>
      </c>
      <c r="J13" s="29" t="s">
        <v>159</v>
      </c>
      <c r="K13" s="23" t="s">
        <v>37</v>
      </c>
      <c r="L13" s="24">
        <v>46043</v>
      </c>
      <c r="M13" s="28" t="s">
        <v>48</v>
      </c>
      <c r="N13" s="24">
        <v>46043</v>
      </c>
      <c r="O13" s="17">
        <f>IF(OR($B13="",$L13="",$M13="Closed"),"",MAX(0,Setup!$C$5-$L13))</f>
        <v/>
      </c>
      <c r="P13" s="17" t="str">
        <f>IF($B13="","",IF($M13="Closed","CLOSED",IF($L13="","NO DUE DATE",IF(Setup!$C$5&gt;$L13,"OVERDUE",IF($L13-Setup!$C$5&lt;=7,"DUE SOON","OPEN")))))</f>
        <v>CLOSED</v>
      </c>
      <c r="Q13" s="17">
        <f>IF($B13="","",IF($M13="Closed",0,1))</f>
        <v>0.0</v>
      </c>
    </row>
    <row r="14" spans="1:17">
      <c r="A14" s="17" t="str">
        <f>IF($B14="","","F-1009")</f>
        <v>F-1009</v>
      </c>
      <c r="B14" s="28" t="s">
        <v>160</v>
      </c>
      <c r="C14" s="28" t="s">
        <v>101</v>
      </c>
      <c r="D14" s="8">
        <f>IF($B14="","",IFERROR(INDEX(Audit_Log!$B$6:$B$405,MATCH($B14,Audit_Log!$A$6:$A$405,0)),""))</f>
        <v>46051.0</v>
      </c>
      <c r="E14" s="18" t="str">
        <f>IF($B14="","",IFERROR(INDEX(Audit_Log!$C$6:$C$405,MATCH($B14,Audit_Log!$A$6:$A$405,0)),""))</f>
        <v>Press Line 1</v>
      </c>
      <c r="F14" s="17" t="str">
        <f>IF($B14="","",IFERROR(INDEX(Audit_Log!$D$6:$D$405,MATCH($B14,Audit_Log!$A$6:$A$405,0)),""))</f>
        <v>L1</v>
      </c>
      <c r="G14" s="30" t="str">
        <f>IF($C14="","",IFERROR(INDEX(Checklist!$D$6:$D$20,MATCH($C14,Checklist!$B$6:$B$20,0)),""))</f>
        <v>Is the preventive-maintenance record complete for the last period?</v>
      </c>
      <c r="H14" s="29" t="s">
        <v>149</v>
      </c>
      <c r="I14" s="29" t="s">
        <v>158</v>
      </c>
      <c r="J14" s="29" t="s">
        <v>159</v>
      </c>
      <c r="K14" s="23" t="s">
        <v>36</v>
      </c>
      <c r="L14" s="24">
        <v>46051</v>
      </c>
      <c r="M14" s="28" t="s">
        <v>48</v>
      </c>
      <c r="N14" s="24">
        <v>46051</v>
      </c>
      <c r="O14" s="17">
        <f>IF(OR($B14="",$L14="",$M14="Closed"),"",MAX(0,Setup!$C$5-$L14))</f>
        <v/>
      </c>
      <c r="P14" s="17" t="str">
        <f>IF($B14="","",IF($M14="Closed","CLOSED",IF($L14="","NO DUE DATE",IF(Setup!$C$5&gt;$L14,"OVERDUE",IF($L14-Setup!$C$5&lt;=7,"DUE SOON","OPEN")))))</f>
        <v>CLOSED</v>
      </c>
      <c r="Q14" s="17">
        <f>IF($B14="","",IF($M14="Closed",0,1))</f>
        <v>0.0</v>
      </c>
    </row>
    <row r="15" spans="1:17">
      <c r="A15" s="17" t="str">
        <f>IF($B15="","","F-1010")</f>
        <v>F-1010</v>
      </c>
      <c r="B15" s="28" t="s">
        <v>161</v>
      </c>
      <c r="C15" s="28" t="s">
        <v>108</v>
      </c>
      <c r="D15" s="8">
        <f>IF($B15="","",IFERROR(INDEX(Audit_Log!$B$6:$B$405,MATCH($B15,Audit_Log!$A$6:$A$405,0)),""))</f>
        <v>46058.0</v>
      </c>
      <c r="E15" s="18" t="str">
        <f>IF($B15="","",IFERROR(INDEX(Audit_Log!$C$6:$C$405,MATCH($B15,Audit_Log!$A$6:$A$405,0)),""))</f>
        <v>Packaging</v>
      </c>
      <c r="F15" s="17" t="str">
        <f>IF($B15="","",IFERROR(INDEX(Audit_Log!$D$6:$D$405,MATCH($B15,Audit_Log!$A$6:$A$405,0)),""))</f>
        <v>L1</v>
      </c>
      <c r="G15" s="30" t="str">
        <f>IF($C15="","",IFERROR(INDEX(Checklist!$D$6:$D$20,MATCH($C15,Checklist!$B$6:$B$20,0)),""))</f>
        <v>Is nonconforming product segregated immediately and tagged with reason, date and name?</v>
      </c>
      <c r="H15" s="29" t="s">
        <v>145</v>
      </c>
      <c r="I15" s="29" t="s">
        <v>146</v>
      </c>
      <c r="J15" s="29" t="s">
        <v>147</v>
      </c>
      <c r="K15" s="23" t="s">
        <v>38</v>
      </c>
      <c r="L15" s="24">
        <v>46058</v>
      </c>
      <c r="M15" s="28" t="s">
        <v>48</v>
      </c>
      <c r="N15" s="24">
        <v>46058</v>
      </c>
      <c r="O15" s="17">
        <f>IF(OR($B15="",$L15="",$M15="Closed"),"",MAX(0,Setup!$C$5-$L15))</f>
        <v/>
      </c>
      <c r="P15" s="17" t="str">
        <f>IF($B15="","",IF($M15="Closed","CLOSED",IF($L15="","NO DUE DATE",IF(Setup!$C$5&gt;$L15,"OVERDUE",IF($L15-Setup!$C$5&lt;=7,"DUE SOON","OPEN")))))</f>
        <v>CLOSED</v>
      </c>
      <c r="Q15" s="17">
        <f>IF($B15="","",IF($M15="Closed",0,1))</f>
        <v>0.0</v>
      </c>
    </row>
    <row r="16" spans="1:17">
      <c r="A16" s="17" t="str">
        <f>IF($B16="","","F-1011")</f>
        <v>F-1011</v>
      </c>
      <c r="B16" s="28" t="s">
        <v>162</v>
      </c>
      <c r="C16" s="28" t="s">
        <v>86</v>
      </c>
      <c r="D16" s="8">
        <f>IF($B16="","",IFERROR(INDEX(Audit_Log!$B$6:$B$405,MATCH($B16,Audit_Log!$A$6:$A$405,0)),""))</f>
        <v>46062.0</v>
      </c>
      <c r="E16" s="18" t="str">
        <f>IF($B16="","",IFERROR(INDEX(Audit_Log!$C$6:$C$405,MATCH($B16,Audit_Log!$A$6:$A$405,0)),""))</f>
        <v>Brazing Cell A</v>
      </c>
      <c r="F16" s="17" t="str">
        <f>IF($B16="","",IFERROR(INDEX(Audit_Log!$D$6:$D$405,MATCH($B16,Audit_Log!$A$6:$A$405,0)),""))</f>
        <v>L2</v>
      </c>
      <c r="G16" s="30" t="str">
        <f>IF($C16="","",IFERROR(INDEX(Checklist!$D$6:$D$20,MATCH($C16,Checklist!$B$6:$B$20,0)),""))</f>
        <v>Is every error-proofing device at this station active (not bypassed or disabled)?</v>
      </c>
      <c r="H16" s="29" t="s">
        <v>149</v>
      </c>
      <c r="I16" s="29" t="s">
        <v>155</v>
      </c>
      <c r="J16" s="29" t="s">
        <v>156</v>
      </c>
      <c r="K16" s="23" t="s">
        <v>163</v>
      </c>
      <c r="L16" s="24">
        <v>46069</v>
      </c>
      <c r="M16" s="28" t="s">
        <v>48</v>
      </c>
      <c r="N16" s="24">
        <v>46066</v>
      </c>
      <c r="O16" s="17">
        <f>IF(OR($B16="",$L16="",$M16="Closed"),"",MAX(0,Setup!$C$5-$L16))</f>
        <v/>
      </c>
      <c r="P16" s="17" t="str">
        <f>IF($B16="","",IF($M16="Closed","CLOSED",IF($L16="","NO DUE DATE",IF(Setup!$C$5&gt;$L16,"OVERDUE",IF($L16-Setup!$C$5&lt;=7,"DUE SOON","OPEN")))))</f>
        <v>CLOSED</v>
      </c>
      <c r="Q16" s="17">
        <f>IF($B16="","",IF($M16="Closed",0,1))</f>
        <v>0.0</v>
      </c>
    </row>
    <row r="17" spans="1:17">
      <c r="A17" s="17" t="str">
        <f>IF($B17="","","F-1012")</f>
        <v>F-1012</v>
      </c>
      <c r="B17" s="28" t="s">
        <v>164</v>
      </c>
      <c r="C17" s="28" t="s">
        <v>86</v>
      </c>
      <c r="D17" s="8">
        <f>IF($B17="","",IFERROR(INDEX(Audit_Log!$B$6:$B$405,MATCH($B17,Audit_Log!$A$6:$A$405,0)),""))</f>
        <v>46069.0</v>
      </c>
      <c r="E17" s="18" t="str">
        <f>IF($B17="","",IFERROR(INDEX(Audit_Log!$C$6:$C$405,MATCH($B17,Audit_Log!$A$6:$A$405,0)),""))</f>
        <v>Assembly Line 1</v>
      </c>
      <c r="F17" s="17" t="str">
        <f>IF($B17="","",IFERROR(INDEX(Audit_Log!$D$6:$D$405,MATCH($B17,Audit_Log!$A$6:$A$405,0)),""))</f>
        <v>L1</v>
      </c>
      <c r="G17" s="30" t="str">
        <f>IF($C17="","",IFERROR(INDEX(Checklist!$D$6:$D$20,MATCH($C17,Checklist!$B$6:$B$20,0)),""))</f>
        <v>Is every error-proofing device at this station active (not bypassed or disabled)?</v>
      </c>
      <c r="H17" s="29" t="s">
        <v>145</v>
      </c>
      <c r="I17" s="29" t="s">
        <v>155</v>
      </c>
      <c r="J17" s="29" t="s">
        <v>156</v>
      </c>
      <c r="K17" s="23" t="s">
        <v>35</v>
      </c>
      <c r="L17" s="24">
        <v>46076</v>
      </c>
      <c r="M17" s="28" t="s">
        <v>48</v>
      </c>
      <c r="N17" s="24">
        <v>46076</v>
      </c>
      <c r="O17" s="17">
        <f>IF(OR($B17="",$L17="",$M17="Closed"),"",MAX(0,Setup!$C$5-$L17))</f>
        <v/>
      </c>
      <c r="P17" s="17" t="str">
        <f>IF($B17="","",IF($M17="Closed","CLOSED",IF($L17="","NO DUE DATE",IF(Setup!$C$5&gt;$L17,"OVERDUE",IF($L17-Setup!$C$5&lt;=7,"DUE SOON","OPEN")))))</f>
        <v>CLOSED</v>
      </c>
      <c r="Q17" s="17">
        <f>IF($B17="","",IF($M17="Closed",0,1))</f>
        <v>0.0</v>
      </c>
    </row>
    <row r="18" spans="1:17">
      <c r="A18" s="17" t="str">
        <f>IF($B18="","","F-1013")</f>
        <v>F-1013</v>
      </c>
      <c r="B18" s="28" t="s">
        <v>165</v>
      </c>
      <c r="C18" s="28" t="s">
        <v>75</v>
      </c>
      <c r="D18" s="8">
        <f>IF($B18="","",IFERROR(INDEX(Audit_Log!$B$6:$B$405,MATCH($B18,Audit_Log!$A$6:$A$405,0)),""))</f>
        <v>46070.0</v>
      </c>
      <c r="E18" s="18" t="str">
        <f>IF($B18="","",IFERROR(INDEX(Audit_Log!$C$6:$C$405,MATCH($B18,Audit_Log!$A$6:$A$405,0)),""))</f>
        <v>Paint Shop</v>
      </c>
      <c r="F18" s="17" t="str">
        <f>IF($B18="","",IFERROR(INDEX(Audit_Log!$D$6:$D$405,MATCH($B18,Audit_Log!$A$6:$A$405,0)),""))</f>
        <v>L1</v>
      </c>
      <c r="G18" s="30" t="str">
        <f>IF($C18="","",IFERROR(INDEX(Checklist!$D$6:$D$20,MATCH($C18,Checklist!$B$6:$B$20,0)),""))</f>
        <v>Are the process parameters (force, temperature, speed) set as defined on the setup sheet?</v>
      </c>
      <c r="H18" s="29" t="s">
        <v>149</v>
      </c>
      <c r="I18" s="29" t="s">
        <v>143</v>
      </c>
      <c r="J18" s="29" t="s">
        <v>144</v>
      </c>
      <c r="K18" s="23" t="s">
        <v>37</v>
      </c>
      <c r="L18" s="24">
        <v>46077</v>
      </c>
      <c r="M18" s="28" t="s">
        <v>48</v>
      </c>
      <c r="N18" s="24">
        <v>46077</v>
      </c>
      <c r="O18" s="17">
        <f>IF(OR($B18="",$L18="",$M18="Closed"),"",MAX(0,Setup!$C$5-$L18))</f>
        <v/>
      </c>
      <c r="P18" s="17" t="str">
        <f>IF($B18="","",IF($M18="Closed","CLOSED",IF($L18="","NO DUE DATE",IF(Setup!$C$5&gt;$L18,"OVERDUE",IF($L18-Setup!$C$5&lt;=7,"DUE SOON","OPEN")))))</f>
        <v>CLOSED</v>
      </c>
      <c r="Q18" s="17">
        <f>IF($B18="","",IF($M18="Closed",0,1))</f>
        <v>0.0</v>
      </c>
    </row>
    <row r="19" spans="1:17">
      <c r="A19" s="17" t="str">
        <f>IF($B19="","","F-1014")</f>
        <v>F-1014</v>
      </c>
      <c r="B19" s="28" t="s">
        <v>165</v>
      </c>
      <c r="C19" s="28" t="s">
        <v>86</v>
      </c>
      <c r="D19" s="8">
        <f>IF($B19="","",IFERROR(INDEX(Audit_Log!$B$6:$B$405,MATCH($B19,Audit_Log!$A$6:$A$405,0)),""))</f>
        <v>46070.0</v>
      </c>
      <c r="E19" s="18" t="str">
        <f>IF($B19="","",IFERROR(INDEX(Audit_Log!$C$6:$C$405,MATCH($B19,Audit_Log!$A$6:$A$405,0)),""))</f>
        <v>Paint Shop</v>
      </c>
      <c r="F19" s="17" t="str">
        <f>IF($B19="","",IFERROR(INDEX(Audit_Log!$D$6:$D$405,MATCH($B19,Audit_Log!$A$6:$A$405,0)),""))</f>
        <v>L1</v>
      </c>
      <c r="G19" s="30" t="str">
        <f>IF($C19="","",IFERROR(INDEX(Checklist!$D$6:$D$20,MATCH($C19,Checklist!$B$6:$B$20,0)),""))</f>
        <v>Is every error-proofing device at this station active (not bypassed or disabled)?</v>
      </c>
      <c r="H19" s="29" t="s">
        <v>142</v>
      </c>
      <c r="I19" s="29" t="s">
        <v>158</v>
      </c>
      <c r="J19" s="29" t="s">
        <v>159</v>
      </c>
      <c r="K19" s="23" t="s">
        <v>37</v>
      </c>
      <c r="L19" s="24">
        <v>46070</v>
      </c>
      <c r="M19" s="28" t="s">
        <v>48</v>
      </c>
      <c r="N19" s="24">
        <v>46070</v>
      </c>
      <c r="O19" s="17">
        <f>IF(OR($B19="",$L19="",$M19="Closed"),"",MAX(0,Setup!$C$5-$L19))</f>
        <v/>
      </c>
      <c r="P19" s="17" t="str">
        <f>IF($B19="","",IF($M19="Closed","CLOSED",IF($L19="","NO DUE DATE",IF(Setup!$C$5&gt;$L19,"OVERDUE",IF($L19-Setup!$C$5&lt;=7,"DUE SOON","OPEN")))))</f>
        <v>CLOSED</v>
      </c>
      <c r="Q19" s="17">
        <f>IF($B19="","",IF($M19="Closed",0,1))</f>
        <v>0.0</v>
      </c>
    </row>
    <row r="20" spans="1:17">
      <c r="A20" s="17" t="str">
        <f>IF($B20="","","F-1015")</f>
        <v>F-1015</v>
      </c>
      <c r="B20" s="28" t="s">
        <v>166</v>
      </c>
      <c r="C20" s="28" t="s">
        <v>61</v>
      </c>
      <c r="D20" s="8">
        <f>IF($B20="","",IFERROR(INDEX(Audit_Log!$B$6:$B$405,MATCH($B20,Audit_Log!$A$6:$A$405,0)),""))</f>
        <v>46076.0</v>
      </c>
      <c r="E20" s="18" t="str">
        <f>IF($B20="","",IFERROR(INDEX(Audit_Log!$C$6:$C$405,MATCH($B20,Audit_Log!$A$6:$A$405,0)),""))</f>
        <v>Packaging</v>
      </c>
      <c r="F20" s="17" t="str">
        <f>IF($B20="","",IFERROR(INDEX(Audit_Log!$D$6:$D$405,MATCH($B20,Audit_Log!$A$6:$A$405,0)),""))</f>
        <v>L2</v>
      </c>
      <c r="G20" s="30" t="str">
        <f>IF($C20="","",IFERROR(INDEX(Checklist!$D$6:$D$20,MATCH($C20,Checklist!$B$6:$B$20,0)),""))</f>
        <v>Is the current revision of the work instruction posted at the station?</v>
      </c>
      <c r="H20" s="29" t="s">
        <v>149</v>
      </c>
      <c r="I20" s="29" t="s">
        <v>155</v>
      </c>
      <c r="J20" s="29" t="s">
        <v>156</v>
      </c>
      <c r="K20" s="23" t="s">
        <v>38</v>
      </c>
      <c r="L20" s="24">
        <v>46090</v>
      </c>
      <c r="M20" s="28" t="s">
        <v>48</v>
      </c>
      <c r="N20" s="24">
        <v>46090</v>
      </c>
      <c r="O20" s="17">
        <f>IF(OR($B20="",$L20="",$M20="Closed"),"",MAX(0,Setup!$C$5-$L20))</f>
        <v/>
      </c>
      <c r="P20" s="17" t="str">
        <f>IF($B20="","",IF($M20="Closed","CLOSED",IF($L20="","NO DUE DATE",IF(Setup!$C$5&gt;$L20,"OVERDUE",IF($L20-Setup!$C$5&lt;=7,"DUE SOON","OPEN")))))</f>
        <v>CLOSED</v>
      </c>
      <c r="Q20" s="17">
        <f>IF($B20="","",IF($M20="Closed",0,1))</f>
        <v>0.0</v>
      </c>
    </row>
    <row r="21" spans="1:17">
      <c r="A21" s="17" t="str">
        <f>IF($B21="","","F-1016")</f>
        <v>F-1016</v>
      </c>
      <c r="B21" s="28" t="s">
        <v>167</v>
      </c>
      <c r="C21" s="28" t="s">
        <v>61</v>
      </c>
      <c r="D21" s="8">
        <f>IF($B21="","",IFERROR(INDEX(Audit_Log!$B$6:$B$405,MATCH($B21,Audit_Log!$A$6:$A$405,0)),""))</f>
        <v>46085.0</v>
      </c>
      <c r="E21" s="18" t="str">
        <f>IF($B21="","",IFERROR(INDEX(Audit_Log!$C$6:$C$405,MATCH($B21,Audit_Log!$A$6:$A$405,0)),""))</f>
        <v>Assembly Line 1</v>
      </c>
      <c r="F21" s="17" t="str">
        <f>IF($B21="","",IFERROR(INDEX(Audit_Log!$D$6:$D$405,MATCH($B21,Audit_Log!$A$6:$A$405,0)),""))</f>
        <v>L1</v>
      </c>
      <c r="G21" s="30" t="str">
        <f>IF($C21="","",IFERROR(INDEX(Checklist!$D$6:$D$20,MATCH($C21,Checklist!$B$6:$B$20,0)),""))</f>
        <v>Is the current revision of the work instruction posted at the station?</v>
      </c>
      <c r="H21" s="29" t="s">
        <v>149</v>
      </c>
      <c r="I21" s="29" t="s">
        <v>155</v>
      </c>
      <c r="J21" s="29" t="s">
        <v>156</v>
      </c>
      <c r="K21" s="23" t="s">
        <v>35</v>
      </c>
      <c r="L21" s="24">
        <v>46099</v>
      </c>
      <c r="M21" s="28" t="s">
        <v>48</v>
      </c>
      <c r="N21" s="24">
        <v>46097</v>
      </c>
      <c r="O21" s="17">
        <f>IF(OR($B21="",$L21="",$M21="Closed"),"",MAX(0,Setup!$C$5-$L21))</f>
        <v/>
      </c>
      <c r="P21" s="17" t="str">
        <f>IF($B21="","",IF($M21="Closed","CLOSED",IF($L21="","NO DUE DATE",IF(Setup!$C$5&gt;$L21,"OVERDUE",IF($L21-Setup!$C$5&lt;=7,"DUE SOON","OPEN")))))</f>
        <v>CLOSED</v>
      </c>
      <c r="Q21" s="17">
        <f>IF($B21="","",IF($M21="Closed",0,1))</f>
        <v>0.0</v>
      </c>
    </row>
    <row r="22" spans="1:17">
      <c r="A22" s="17" t="str">
        <f>IF($B22="","","F-1017")</f>
        <v>F-1017</v>
      </c>
      <c r="B22" s="28" t="s">
        <v>167</v>
      </c>
      <c r="C22" s="28" t="s">
        <v>93</v>
      </c>
      <c r="D22" s="8">
        <f>IF($B22="","",IFERROR(INDEX(Audit_Log!$B$6:$B$405,MATCH($B22,Audit_Log!$A$6:$A$405,0)),""))</f>
        <v>46085.0</v>
      </c>
      <c r="E22" s="18" t="str">
        <f>IF($B22="","",IFERROR(INDEX(Audit_Log!$C$6:$C$405,MATCH($B22,Audit_Log!$A$6:$A$405,0)),""))</f>
        <v>Assembly Line 1</v>
      </c>
      <c r="F22" s="17" t="str">
        <f>IF($B22="","",IFERROR(INDEX(Audit_Log!$D$6:$D$405,MATCH($B22,Audit_Log!$A$6:$A$405,0)),""))</f>
        <v>L1</v>
      </c>
      <c r="G22" s="30" t="str">
        <f>IF($C22="","",IFERROR(INDEX(Checklist!$D$6:$D$20,MATCH($C22,Checklist!$B$6:$B$20,0)),""))</f>
        <v>Are all special characteristics (CC/SC) at this station checked as specified?</v>
      </c>
      <c r="H22" s="29" t="s">
        <v>142</v>
      </c>
      <c r="I22" s="29" t="s">
        <v>143</v>
      </c>
      <c r="J22" s="29" t="s">
        <v>144</v>
      </c>
      <c r="K22" s="23" t="s">
        <v>35</v>
      </c>
      <c r="L22" s="24">
        <v>46099</v>
      </c>
      <c r="M22" s="28" t="s">
        <v>48</v>
      </c>
      <c r="N22" s="24">
        <v>46098</v>
      </c>
      <c r="O22" s="17">
        <f>IF(OR($B22="",$L22="",$M22="Closed"),"",MAX(0,Setup!$C$5-$L22))</f>
        <v/>
      </c>
      <c r="P22" s="17" t="str">
        <f>IF($B22="","",IF($M22="Closed","CLOSED",IF($L22="","NO DUE DATE",IF(Setup!$C$5&gt;$L22,"OVERDUE",IF($L22-Setup!$C$5&lt;=7,"DUE SOON","OPEN")))))</f>
        <v>CLOSED</v>
      </c>
      <c r="Q22" s="17">
        <f>IF($B22="","",IF($M22="Closed",0,1))</f>
        <v>0.0</v>
      </c>
    </row>
    <row r="23" spans="1:17">
      <c r="A23" s="17" t="str">
        <f>IF($B23="","","F-1018")</f>
        <v>F-1018</v>
      </c>
      <c r="B23" s="28" t="s">
        <v>168</v>
      </c>
      <c r="C23" s="28" t="s">
        <v>86</v>
      </c>
      <c r="D23" s="8">
        <f>IF($B23="","",IFERROR(INDEX(Audit_Log!$B$6:$B$405,MATCH($B23,Audit_Log!$A$6:$A$405,0)),""))</f>
        <v>46090.0</v>
      </c>
      <c r="E23" s="18" t="str">
        <f>IF($B23="","",IFERROR(INDEX(Audit_Log!$C$6:$C$405,MATCH($B23,Audit_Log!$A$6:$A$405,0)),""))</f>
        <v>Paint Shop</v>
      </c>
      <c r="F23" s="17" t="str">
        <f>IF($B23="","",IFERROR(INDEX(Audit_Log!$D$6:$D$405,MATCH($B23,Audit_Log!$A$6:$A$405,0)),""))</f>
        <v>L1</v>
      </c>
      <c r="G23" s="30" t="str">
        <f>IF($C23="","",IFERROR(INDEX(Checklist!$D$6:$D$20,MATCH($C23,Checklist!$B$6:$B$20,0)),""))</f>
        <v>Is every error-proofing device at this station active (not bypassed or disabled)?</v>
      </c>
      <c r="H23" s="29" t="s">
        <v>149</v>
      </c>
      <c r="I23" s="29" t="s">
        <v>152</v>
      </c>
      <c r="J23" s="29" t="s">
        <v>153</v>
      </c>
      <c r="K23" s="23" t="s">
        <v>37</v>
      </c>
      <c r="L23" s="24">
        <v>46097</v>
      </c>
      <c r="M23" s="28" t="s">
        <v>48</v>
      </c>
      <c r="N23" s="24">
        <v>46094</v>
      </c>
      <c r="O23" s="17">
        <f>IF(OR($B23="",$L23="",$M23="Closed"),"",MAX(0,Setup!$C$5-$L23))</f>
        <v/>
      </c>
      <c r="P23" s="17" t="str">
        <f>IF($B23="","",IF($M23="Closed","CLOSED",IF($L23="","NO DUE DATE",IF(Setup!$C$5&gt;$L23,"OVERDUE",IF($L23-Setup!$C$5&lt;=7,"DUE SOON","OPEN")))))</f>
        <v>CLOSED</v>
      </c>
      <c r="Q23" s="17">
        <f>IF($B23="","",IF($M23="Closed",0,1))</f>
        <v>0.0</v>
      </c>
    </row>
    <row r="24" spans="1:17">
      <c r="A24" s="17" t="str">
        <f>IF($B24="","","F-1019")</f>
        <v>F-1019</v>
      </c>
      <c r="B24" s="28" t="s">
        <v>169</v>
      </c>
      <c r="C24" s="28" t="s">
        <v>108</v>
      </c>
      <c r="D24" s="8">
        <f>IF($B24="","",IFERROR(INDEX(Audit_Log!$B$6:$B$405,MATCH($B24,Audit_Log!$A$6:$A$405,0)),""))</f>
        <v>46093.0</v>
      </c>
      <c r="E24" s="18" t="str">
        <f>IF($B24="","",IFERROR(INDEX(Audit_Log!$C$6:$C$405,MATCH($B24,Audit_Log!$A$6:$A$405,0)),""))</f>
        <v>Assembly Line 1</v>
      </c>
      <c r="F24" s="17" t="str">
        <f>IF($B24="","",IFERROR(INDEX(Audit_Log!$D$6:$D$405,MATCH($B24,Audit_Log!$A$6:$A$405,0)),""))</f>
        <v>L2</v>
      </c>
      <c r="G24" s="30" t="str">
        <f>IF($C24="","",IFERROR(INDEX(Checklist!$D$6:$D$20,MATCH($C24,Checklist!$B$6:$B$20,0)),""))</f>
        <v>Is nonconforming product segregated immediately and tagged with reason, date and name?</v>
      </c>
      <c r="H24" s="29" t="s">
        <v>145</v>
      </c>
      <c r="I24" s="29" t="s">
        <v>158</v>
      </c>
      <c r="J24" s="29" t="s">
        <v>159</v>
      </c>
      <c r="K24" s="23" t="s">
        <v>35</v>
      </c>
      <c r="L24" s="24">
        <v>46093</v>
      </c>
      <c r="M24" s="28" t="s">
        <v>48</v>
      </c>
      <c r="N24" s="24">
        <v>46093</v>
      </c>
      <c r="O24" s="17">
        <f>IF(OR($B24="",$L24="",$M24="Closed"),"",MAX(0,Setup!$C$5-$L24))</f>
        <v/>
      </c>
      <c r="P24" s="17" t="str">
        <f>IF($B24="","",IF($M24="Closed","CLOSED",IF($L24="","NO DUE DATE",IF(Setup!$C$5&gt;$L24,"OVERDUE",IF($L24-Setup!$C$5&lt;=7,"DUE SOON","OPEN")))))</f>
        <v>CLOSED</v>
      </c>
      <c r="Q24" s="17">
        <f>IF($B24="","",IF($M24="Closed",0,1))</f>
        <v>0.0</v>
      </c>
    </row>
    <row r="25" spans="1:17">
      <c r="A25" s="17" t="str">
        <f>IF($B25="","","F-1020")</f>
        <v>F-1020</v>
      </c>
      <c r="B25" s="28" t="s">
        <v>170</v>
      </c>
      <c r="C25" s="28" t="s">
        <v>83</v>
      </c>
      <c r="D25" s="8">
        <f>IF($B25="","",IFERROR(INDEX(Audit_Log!$B$6:$B$405,MATCH($B25,Audit_Log!$A$6:$A$405,0)),""))</f>
        <v>46093.0</v>
      </c>
      <c r="E25" s="18" t="str">
        <f>IF($B25="","",IFERROR(INDEX(Audit_Log!$C$6:$C$405,MATCH($B25,Audit_Log!$A$6:$A$405,0)),""))</f>
        <v>Brazing Cell A</v>
      </c>
      <c r="F25" s="17" t="str">
        <f>IF($B25="","",IFERROR(INDEX(Audit_Log!$D$6:$D$405,MATCH($B25,Audit_Log!$A$6:$A$405,0)),""))</f>
        <v>L3</v>
      </c>
      <c r="G25" s="30" t="str">
        <f>IF($C25="","",IFERROR(INDEX(Checklist!$D$6:$D$20,MATCH($C25,Checklist!$B$6:$B$20,0)),""))</f>
        <v>Are measuring and test devices at the station within their calibration date?</v>
      </c>
      <c r="H25" s="29" t="s">
        <v>142</v>
      </c>
      <c r="I25" s="29"/>
      <c r="J25" s="29" t="s">
        <v>150</v>
      </c>
      <c r="K25" s="23" t="s">
        <v>163</v>
      </c>
      <c r="L25" s="24">
        <v>46100</v>
      </c>
      <c r="M25" s="28" t="s">
        <v>48</v>
      </c>
      <c r="N25" s="24">
        <v>46100</v>
      </c>
      <c r="O25" s="17">
        <f>IF(OR($B25="",$L25="",$M25="Closed"),"",MAX(0,Setup!$C$5-$L25))</f>
        <v/>
      </c>
      <c r="P25" s="17" t="str">
        <f>IF($B25="","",IF($M25="Closed","CLOSED",IF($L25="","NO DUE DATE",IF(Setup!$C$5&gt;$L25,"OVERDUE",IF($L25-Setup!$C$5&lt;=7,"DUE SOON","OPEN")))))</f>
        <v>CLOSED</v>
      </c>
      <c r="Q25" s="17">
        <f>IF($B25="","",IF($M25="Closed",0,1))</f>
        <v>0.0</v>
      </c>
    </row>
    <row r="26" spans="1:17">
      <c r="A26" s="17" t="str">
        <f>IF($B26="","","F-1021")</f>
        <v>F-1021</v>
      </c>
      <c r="B26" s="28" t="s">
        <v>171</v>
      </c>
      <c r="C26" s="28" t="s">
        <v>112</v>
      </c>
      <c r="D26" s="8">
        <f>IF($B26="","",IFERROR(INDEX(Audit_Log!$B$6:$B$405,MATCH($B26,Audit_Log!$A$6:$A$405,0)),""))</f>
        <v>46104.0</v>
      </c>
      <c r="E26" s="18" t="str">
        <f>IF($B26="","",IFERROR(INDEX(Audit_Log!$C$6:$C$405,MATCH($B26,Audit_Log!$A$6:$A$405,0)),""))</f>
        <v>Packaging</v>
      </c>
      <c r="F26" s="17" t="str">
        <f>IF($B26="","",IFERROR(INDEX(Audit_Log!$D$6:$D$405,MATCH($B26,Audit_Log!$A$6:$A$405,0)),""))</f>
        <v>L3</v>
      </c>
      <c r="G26" s="30" t="str">
        <f>IF($C26="","",IFERROR(INDEX(Checklist!$D$6:$D$20,MATCH($C26,Checklist!$B$6:$B$20,0)),""))</f>
        <v>Can the part just produced be traced back to its material batch and shift records?</v>
      </c>
      <c r="H26" s="29" t="s">
        <v>149</v>
      </c>
      <c r="I26" s="29" t="s">
        <v>155</v>
      </c>
      <c r="J26" s="29" t="s">
        <v>156</v>
      </c>
      <c r="K26" s="23" t="s">
        <v>38</v>
      </c>
      <c r="L26" s="24">
        <v>46111</v>
      </c>
      <c r="M26" s="28" t="s">
        <v>48</v>
      </c>
      <c r="N26" s="24">
        <v>46108</v>
      </c>
      <c r="O26" s="17">
        <f>IF(OR($B26="",$L26="",$M26="Closed"),"",MAX(0,Setup!$C$5-$L26))</f>
        <v/>
      </c>
      <c r="P26" s="17" t="str">
        <f>IF($B26="","",IF($M26="Closed","CLOSED",IF($L26="","NO DUE DATE",IF(Setup!$C$5&gt;$L26,"OVERDUE",IF($L26-Setup!$C$5&lt;=7,"DUE SOON","OPEN")))))</f>
        <v>CLOSED</v>
      </c>
      <c r="Q26" s="17">
        <f>IF($B26="","",IF($M26="Closed",0,1))</f>
        <v>0.0</v>
      </c>
    </row>
    <row r="27" spans="1:17">
      <c r="A27" s="17" t="str">
        <f>IF($B27="","","F-1022")</f>
        <v>F-1022</v>
      </c>
      <c r="B27" s="28" t="s">
        <v>172</v>
      </c>
      <c r="C27" s="28" t="s">
        <v>68</v>
      </c>
      <c r="D27" s="8">
        <f>IF($B27="","",IFERROR(INDEX(Audit_Log!$B$6:$B$405,MATCH($B27,Audit_Log!$A$6:$A$405,0)),""))</f>
        <v>46111.0</v>
      </c>
      <c r="E27" s="18" t="str">
        <f>IF($B27="","",IFERROR(INDEX(Audit_Log!$C$6:$C$405,MATCH($B27,Audit_Log!$A$6:$A$405,0)),""))</f>
        <v>Paint Shop</v>
      </c>
      <c r="F27" s="17" t="str">
        <f>IF($B27="","",IFERROR(INDEX(Audit_Log!$D$6:$D$405,MATCH($B27,Audit_Log!$A$6:$A$405,0)),""))</f>
        <v>L1</v>
      </c>
      <c r="G27" s="30" t="str">
        <f>IF($C27="","",IFERROR(INDEX(Checklist!$D$6:$D$20,MATCH($C27,Checklist!$B$6:$B$20,0)),""))</f>
        <v>Is the reaction plan visible, and does the operator know what to do with a nonconforming part?</v>
      </c>
      <c r="H27" s="29" t="s">
        <v>149</v>
      </c>
      <c r="I27" s="29"/>
      <c r="J27" s="29" t="s">
        <v>150</v>
      </c>
      <c r="K27" s="23" t="s">
        <v>37</v>
      </c>
      <c r="L27" s="24">
        <v>46111</v>
      </c>
      <c r="M27" s="28" t="s">
        <v>48</v>
      </c>
      <c r="N27" s="24">
        <v>46111</v>
      </c>
      <c r="O27" s="17">
        <f>IF(OR($B27="",$L27="",$M27="Closed"),"",MAX(0,Setup!$C$5-$L27))</f>
        <v/>
      </c>
      <c r="P27" s="17" t="str">
        <f>IF($B27="","",IF($M27="Closed","CLOSED",IF($L27="","NO DUE DATE",IF(Setup!$C$5&gt;$L27,"OVERDUE",IF($L27-Setup!$C$5&lt;=7,"DUE SOON","OPEN")))))</f>
        <v>CLOSED</v>
      </c>
      <c r="Q27" s="17">
        <f>IF($B27="","",IF($M27="Closed",0,1))</f>
        <v>0.0</v>
      </c>
    </row>
    <row r="28" spans="1:17">
      <c r="A28" s="17" t="str">
        <f>IF($B28="","","F-1023")</f>
        <v>F-1023</v>
      </c>
      <c r="B28" s="28" t="s">
        <v>172</v>
      </c>
      <c r="C28" s="28" t="s">
        <v>83</v>
      </c>
      <c r="D28" s="8">
        <f>IF($B28="","",IFERROR(INDEX(Audit_Log!$B$6:$B$405,MATCH($B28,Audit_Log!$A$6:$A$405,0)),""))</f>
        <v>46111.0</v>
      </c>
      <c r="E28" s="18" t="str">
        <f>IF($B28="","",IFERROR(INDEX(Audit_Log!$C$6:$C$405,MATCH($B28,Audit_Log!$A$6:$A$405,0)),""))</f>
        <v>Paint Shop</v>
      </c>
      <c r="F28" s="17" t="str">
        <f>IF($B28="","",IFERROR(INDEX(Audit_Log!$D$6:$D$405,MATCH($B28,Audit_Log!$A$6:$A$405,0)),""))</f>
        <v>L1</v>
      </c>
      <c r="G28" s="30" t="str">
        <f>IF($C28="","",IFERROR(INDEX(Checklist!$D$6:$D$20,MATCH($C28,Checklist!$B$6:$B$20,0)),""))</f>
        <v>Are measuring and test devices at the station within their calibration date?</v>
      </c>
      <c r="H28" s="29" t="s">
        <v>149</v>
      </c>
      <c r="I28" s="29" t="s">
        <v>152</v>
      </c>
      <c r="J28" s="29" t="s">
        <v>153</v>
      </c>
      <c r="K28" s="23" t="s">
        <v>37</v>
      </c>
      <c r="L28" s="24">
        <v>46125</v>
      </c>
      <c r="M28" s="28" t="s">
        <v>48</v>
      </c>
      <c r="N28" s="24">
        <v>46122</v>
      </c>
      <c r="O28" s="17">
        <f>IF(OR($B28="",$L28="",$M28="Closed"),"",MAX(0,Setup!$C$5-$L28))</f>
        <v/>
      </c>
      <c r="P28" s="17" t="str">
        <f>IF($B28="","",IF($M28="Closed","CLOSED",IF($L28="","NO DUE DATE",IF(Setup!$C$5&gt;$L28,"OVERDUE",IF($L28-Setup!$C$5&lt;=7,"DUE SOON","OPEN")))))</f>
        <v>CLOSED</v>
      </c>
      <c r="Q28" s="17">
        <f>IF($B28="","",IF($M28="Closed",0,1))</f>
        <v>0.0</v>
      </c>
    </row>
    <row r="29" spans="1:17">
      <c r="A29" s="17" t="str">
        <f>IF($B29="","","F-1024")</f>
        <v>F-1024</v>
      </c>
      <c r="B29" s="28" t="s">
        <v>172</v>
      </c>
      <c r="C29" s="28" t="s">
        <v>97</v>
      </c>
      <c r="D29" s="8">
        <f>IF($B29="","",IFERROR(INDEX(Audit_Log!$B$6:$B$405,MATCH($B29,Audit_Log!$A$6:$A$405,0)),""))</f>
        <v>46111.0</v>
      </c>
      <c r="E29" s="18" t="str">
        <f>IF($B29="","",IFERROR(INDEX(Audit_Log!$C$6:$C$405,MATCH($B29,Audit_Log!$A$6:$A$405,0)),""))</f>
        <v>Paint Shop</v>
      </c>
      <c r="F29" s="17" t="str">
        <f>IF($B29="","",IFERROR(INDEX(Audit_Log!$D$6:$D$405,MATCH($B29,Audit_Log!$A$6:$A$405,0)),""))</f>
        <v>L1</v>
      </c>
      <c r="G29" s="30" t="str">
        <f>IF($C29="","",IFERROR(INDEX(Checklist!$D$6:$D$20,MATCH($C29,Checklist!$B$6:$B$20,0)),""))</f>
        <v>Are tool wear and counters within the maintenance limit?</v>
      </c>
      <c r="H29" s="29" t="s">
        <v>142</v>
      </c>
      <c r="I29" s="29" t="s">
        <v>143</v>
      </c>
      <c r="J29" s="29" t="s">
        <v>144</v>
      </c>
      <c r="K29" s="23" t="s">
        <v>37</v>
      </c>
      <c r="L29" s="24">
        <v>46111</v>
      </c>
      <c r="M29" s="28" t="s">
        <v>48</v>
      </c>
      <c r="N29" s="24">
        <v>46111</v>
      </c>
      <c r="O29" s="17">
        <f>IF(OR($B29="",$L29="",$M29="Closed"),"",MAX(0,Setup!$C$5-$L29))</f>
        <v/>
      </c>
      <c r="P29" s="17" t="str">
        <f>IF($B29="","",IF($M29="Closed","CLOSED",IF($L29="","NO DUE DATE",IF(Setup!$C$5&gt;$L29,"OVERDUE",IF($L29-Setup!$C$5&lt;=7,"DUE SOON","OPEN")))))</f>
        <v>CLOSED</v>
      </c>
      <c r="Q29" s="17">
        <f>IF($B29="","",IF($M29="Closed",0,1))</f>
        <v>0.0</v>
      </c>
    </row>
    <row r="30" spans="1:17">
      <c r="A30" s="17" t="str">
        <f>IF($B30="","","F-1025")</f>
        <v>F-1025</v>
      </c>
      <c r="B30" s="28" t="s">
        <v>173</v>
      </c>
      <c r="C30" s="28" t="s">
        <v>79</v>
      </c>
      <c r="D30" s="8">
        <f>IF($B30="","",IFERROR(INDEX(Audit_Log!$B$6:$B$405,MATCH($B30,Audit_Log!$A$6:$A$405,0)),""))</f>
        <v>46114.0</v>
      </c>
      <c r="E30" s="18" t="str">
        <f>IF($B30="","",IFERROR(INDEX(Audit_Log!$C$6:$C$405,MATCH($B30,Audit_Log!$A$6:$A$405,0)),""))</f>
        <v>Paint Shop</v>
      </c>
      <c r="F30" s="17" t="str">
        <f>IF($B30="","",IFERROR(INDEX(Audit_Log!$D$6:$D$405,MATCH($B30,Audit_Log!$A$6:$A$405,0)),""))</f>
        <v>L1</v>
      </c>
      <c r="G30" s="30" t="str">
        <f>IF($C30="","",IFERROR(INDEX(Checklist!$D$6:$D$20,MATCH($C30,Checklist!$B$6:$B$20,0)),""))</f>
        <v>Are in-process checks done at the defined frequency and recorded?</v>
      </c>
      <c r="H30" s="29" t="s">
        <v>149</v>
      </c>
      <c r="I30" s="29" t="s">
        <v>152</v>
      </c>
      <c r="J30" s="29" t="s">
        <v>153</v>
      </c>
      <c r="K30" s="23" t="s">
        <v>37</v>
      </c>
      <c r="L30" s="24">
        <v>46121</v>
      </c>
      <c r="M30" s="28" t="s">
        <v>48</v>
      </c>
      <c r="N30" s="24">
        <v>46121</v>
      </c>
      <c r="O30" s="17">
        <f>IF(OR($B30="",$L30="",$M30="Closed"),"",MAX(0,Setup!$C$5-$L30))</f>
        <v/>
      </c>
      <c r="P30" s="17" t="str">
        <f>IF($B30="","",IF($M30="Closed","CLOSED",IF($L30="","NO DUE DATE",IF(Setup!$C$5&gt;$L30,"OVERDUE",IF($L30-Setup!$C$5&lt;=7,"DUE SOON","OPEN")))))</f>
        <v>CLOSED</v>
      </c>
      <c r="Q30" s="17">
        <f>IF($B30="","",IF($M30="Closed",0,1))</f>
        <v>0.0</v>
      </c>
    </row>
    <row r="31" spans="1:17">
      <c r="A31" s="17" t="str">
        <f>IF($B31="","","F-1026")</f>
        <v>F-1026</v>
      </c>
      <c r="B31" s="28" t="s">
        <v>174</v>
      </c>
      <c r="C31" s="28" t="s">
        <v>75</v>
      </c>
      <c r="D31" s="8">
        <f>IF($B31="","",IFERROR(INDEX(Audit_Log!$B$6:$B$405,MATCH($B31,Audit_Log!$A$6:$A$405,0)),""))</f>
        <v>46115.0</v>
      </c>
      <c r="E31" s="18" t="str">
        <f>IF($B31="","",IFERROR(INDEX(Audit_Log!$C$6:$C$405,MATCH($B31,Audit_Log!$A$6:$A$405,0)),""))</f>
        <v>Packaging</v>
      </c>
      <c r="F31" s="17" t="str">
        <f>IF($B31="","",IFERROR(INDEX(Audit_Log!$D$6:$D$405,MATCH($B31,Audit_Log!$A$6:$A$405,0)),""))</f>
        <v>L1</v>
      </c>
      <c r="G31" s="30" t="str">
        <f>IF($C31="","",IFERROR(INDEX(Checklist!$D$6:$D$20,MATCH($C31,Checklist!$B$6:$B$20,0)),""))</f>
        <v>Are the process parameters (force, temperature, speed) set as defined on the setup sheet?</v>
      </c>
      <c r="H31" s="29" t="s">
        <v>145</v>
      </c>
      <c r="I31" s="29" t="s">
        <v>155</v>
      </c>
      <c r="J31" s="29" t="s">
        <v>156</v>
      </c>
      <c r="K31" s="23" t="s">
        <v>38</v>
      </c>
      <c r="L31" s="24">
        <v>46129</v>
      </c>
      <c r="M31" s="28" t="s">
        <v>48</v>
      </c>
      <c r="N31" s="24">
        <v>46129</v>
      </c>
      <c r="O31" s="17">
        <f>IF(OR($B31="",$L31="",$M31="Closed"),"",MAX(0,Setup!$C$5-$L31))</f>
        <v/>
      </c>
      <c r="P31" s="17" t="str">
        <f>IF($B31="","",IF($M31="Closed","CLOSED",IF($L31="","NO DUE DATE",IF(Setup!$C$5&gt;$L31,"OVERDUE",IF($L31-Setup!$C$5&lt;=7,"DUE SOON","OPEN")))))</f>
        <v>CLOSED</v>
      </c>
      <c r="Q31" s="17">
        <f>IF($B31="","",IF($M31="Closed",0,1))</f>
        <v>0.0</v>
      </c>
    </row>
    <row r="32" spans="1:17">
      <c r="A32" s="17" t="str">
        <f>IF($B32="","","F-1027")</f>
        <v>F-1027</v>
      </c>
      <c r="B32" s="28" t="s">
        <v>175</v>
      </c>
      <c r="C32" s="28" t="s">
        <v>108</v>
      </c>
      <c r="D32" s="8">
        <f>IF($B32="","",IFERROR(INDEX(Audit_Log!$B$6:$B$405,MATCH($B32,Audit_Log!$A$6:$A$405,0)),""))</f>
        <v>46127.0</v>
      </c>
      <c r="E32" s="18" t="str">
        <f>IF($B32="","",IFERROR(INDEX(Audit_Log!$C$6:$C$405,MATCH($B32,Audit_Log!$A$6:$A$405,0)),""))</f>
        <v>Paint Shop</v>
      </c>
      <c r="F32" s="17" t="str">
        <f>IF($B32="","",IFERROR(INDEX(Audit_Log!$D$6:$D$405,MATCH($B32,Audit_Log!$A$6:$A$405,0)),""))</f>
        <v>L2</v>
      </c>
      <c r="G32" s="30" t="str">
        <f>IF($C32="","",IFERROR(INDEX(Checklist!$D$6:$D$20,MATCH($C32,Checklist!$B$6:$B$20,0)),""))</f>
        <v>Is nonconforming product segregated immediately and tagged with reason, date and name?</v>
      </c>
      <c r="H32" s="29" t="s">
        <v>149</v>
      </c>
      <c r="I32" s="29"/>
      <c r="J32" s="29" t="s">
        <v>150</v>
      </c>
      <c r="K32" s="23" t="s">
        <v>37</v>
      </c>
      <c r="L32" s="24">
        <v>46141</v>
      </c>
      <c r="M32" s="28" t="s">
        <v>48</v>
      </c>
      <c r="N32" s="24">
        <v>46138</v>
      </c>
      <c r="O32" s="17">
        <f>IF(OR($B32="",$L32="",$M32="Closed"),"",MAX(0,Setup!$C$5-$L32))</f>
        <v/>
      </c>
      <c r="P32" s="17" t="str">
        <f>IF($B32="","",IF($M32="Closed","CLOSED",IF($L32="","NO DUE DATE",IF(Setup!$C$5&gt;$L32,"OVERDUE",IF($L32-Setup!$C$5&lt;=7,"DUE SOON","OPEN")))))</f>
        <v>CLOSED</v>
      </c>
      <c r="Q32" s="17">
        <f>IF($B32="","",IF($M32="Closed",0,1))</f>
        <v>0.0</v>
      </c>
    </row>
    <row r="33" spans="1:17">
      <c r="A33" s="17" t="str">
        <f>IF($B33="","","F-1028")</f>
        <v>F-1028</v>
      </c>
      <c r="B33" s="28" t="s">
        <v>176</v>
      </c>
      <c r="C33" s="28" t="s">
        <v>68</v>
      </c>
      <c r="D33" s="8">
        <f>IF($B33="","",IFERROR(INDEX(Audit_Log!$B$6:$B$405,MATCH($B33,Audit_Log!$A$6:$A$405,0)),""))</f>
        <v>46133.0</v>
      </c>
      <c r="E33" s="18" t="str">
        <f>IF($B33="","",IFERROR(INDEX(Audit_Log!$C$6:$C$405,MATCH($B33,Audit_Log!$A$6:$A$405,0)),""))</f>
        <v>Press Line 1</v>
      </c>
      <c r="F33" s="17" t="str">
        <f>IF($B33="","",IFERROR(INDEX(Audit_Log!$D$6:$D$405,MATCH($B33,Audit_Log!$A$6:$A$405,0)),""))</f>
        <v>L1</v>
      </c>
      <c r="G33" s="30" t="str">
        <f>IF($C33="","",IFERROR(INDEX(Checklist!$D$6:$D$20,MATCH($C33,Checklist!$B$6:$B$20,0)),""))</f>
        <v>Is the reaction plan visible, and does the operator know what to do with a nonconforming part?</v>
      </c>
      <c r="H33" s="29" t="s">
        <v>149</v>
      </c>
      <c r="I33" s="29" t="s">
        <v>158</v>
      </c>
      <c r="J33" s="29" t="s">
        <v>159</v>
      </c>
      <c r="K33" s="23" t="s">
        <v>36</v>
      </c>
      <c r="L33" s="24">
        <v>46133</v>
      </c>
      <c r="M33" s="28" t="s">
        <v>48</v>
      </c>
      <c r="N33" s="24">
        <v>46133</v>
      </c>
      <c r="O33" s="17">
        <f>IF(OR($B33="",$L33="",$M33="Closed"),"",MAX(0,Setup!$C$5-$L33))</f>
        <v/>
      </c>
      <c r="P33" s="17" t="str">
        <f>IF($B33="","",IF($M33="Closed","CLOSED",IF($L33="","NO DUE DATE",IF(Setup!$C$5&gt;$L33,"OVERDUE",IF($L33-Setup!$C$5&lt;=7,"DUE SOON","OPEN")))))</f>
        <v>CLOSED</v>
      </c>
      <c r="Q33" s="17">
        <f>IF($B33="","",IF($M33="Closed",0,1))</f>
        <v>0.0</v>
      </c>
    </row>
    <row r="34" spans="1:17">
      <c r="A34" s="17" t="str">
        <f>IF($B34="","","F-1029")</f>
        <v>F-1029</v>
      </c>
      <c r="B34" s="28" t="s">
        <v>176</v>
      </c>
      <c r="C34" s="28" t="s">
        <v>97</v>
      </c>
      <c r="D34" s="8">
        <f>IF($B34="","",IFERROR(INDEX(Audit_Log!$B$6:$B$405,MATCH($B34,Audit_Log!$A$6:$A$405,0)),""))</f>
        <v>46133.0</v>
      </c>
      <c r="E34" s="18" t="str">
        <f>IF($B34="","",IFERROR(INDEX(Audit_Log!$C$6:$C$405,MATCH($B34,Audit_Log!$A$6:$A$405,0)),""))</f>
        <v>Press Line 1</v>
      </c>
      <c r="F34" s="17" t="str">
        <f>IF($B34="","",IFERROR(INDEX(Audit_Log!$D$6:$D$405,MATCH($B34,Audit_Log!$A$6:$A$405,0)),""))</f>
        <v>L1</v>
      </c>
      <c r="G34" s="30" t="str">
        <f>IF($C34="","",IFERROR(INDEX(Checklist!$D$6:$D$20,MATCH($C34,Checklist!$B$6:$B$20,0)),""))</f>
        <v>Are tool wear and counters within the maintenance limit?</v>
      </c>
      <c r="H34" s="29" t="s">
        <v>142</v>
      </c>
      <c r="I34" s="29" t="s">
        <v>158</v>
      </c>
      <c r="J34" s="29" t="s">
        <v>159</v>
      </c>
      <c r="K34" s="23" t="s">
        <v>36</v>
      </c>
      <c r="L34" s="24">
        <v>46140</v>
      </c>
      <c r="M34" s="28" t="s">
        <v>48</v>
      </c>
      <c r="N34" s="24">
        <v>46140</v>
      </c>
      <c r="O34" s="17">
        <f>IF(OR($B34="",$L34="",$M34="Closed"),"",MAX(0,Setup!$C$5-$L34))</f>
        <v/>
      </c>
      <c r="P34" s="17" t="str">
        <f>IF($B34="","",IF($M34="Closed","CLOSED",IF($L34="","NO DUE DATE",IF(Setup!$C$5&gt;$L34,"OVERDUE",IF($L34-Setup!$C$5&lt;=7,"DUE SOON","OPEN")))))</f>
        <v>CLOSED</v>
      </c>
      <c r="Q34" s="17">
        <f>IF($B34="","",IF($M34="Closed",0,1))</f>
        <v>0.0</v>
      </c>
    </row>
    <row r="35" spans="1:17">
      <c r="A35" s="17" t="str">
        <f>IF($B35="","","F-1030")</f>
        <v>F-1030</v>
      </c>
      <c r="B35" s="28" t="s">
        <v>177</v>
      </c>
      <c r="C35" s="28" t="s">
        <v>68</v>
      </c>
      <c r="D35" s="8">
        <f>IF($B35="","",IFERROR(INDEX(Audit_Log!$B$6:$B$405,MATCH($B35,Audit_Log!$A$6:$A$405,0)),""))</f>
        <v>46135.0</v>
      </c>
      <c r="E35" s="18" t="str">
        <f>IF($B35="","",IFERROR(INDEX(Audit_Log!$C$6:$C$405,MATCH($B35,Audit_Log!$A$6:$A$405,0)),""))</f>
        <v>Brazing Cell A</v>
      </c>
      <c r="F35" s="17" t="str">
        <f>IF($B35="","",IFERROR(INDEX(Audit_Log!$D$6:$D$405,MATCH($B35,Audit_Log!$A$6:$A$405,0)),""))</f>
        <v>L1</v>
      </c>
      <c r="G35" s="30" t="str">
        <f>IF($C35="","",IFERROR(INDEX(Checklist!$D$6:$D$20,MATCH($C35,Checklist!$B$6:$B$20,0)),""))</f>
        <v>Is the reaction plan visible, and does the operator know what to do with a nonconforming part?</v>
      </c>
      <c r="H35" s="29" t="s">
        <v>145</v>
      </c>
      <c r="I35" s="29" t="s">
        <v>152</v>
      </c>
      <c r="J35" s="29" t="s">
        <v>153</v>
      </c>
      <c r="K35" s="23" t="s">
        <v>163</v>
      </c>
      <c r="L35" s="24">
        <v>46142</v>
      </c>
      <c r="M35" s="28" t="s">
        <v>48</v>
      </c>
      <c r="N35" s="24">
        <v>46140</v>
      </c>
      <c r="O35" s="17">
        <f>IF(OR($B35="",$L35="",$M35="Closed"),"",MAX(0,Setup!$C$5-$L35))</f>
        <v/>
      </c>
      <c r="P35" s="17" t="str">
        <f>IF($B35="","",IF($M35="Closed","CLOSED",IF($L35="","NO DUE DATE",IF(Setup!$C$5&gt;$L35,"OVERDUE",IF($L35-Setup!$C$5&lt;=7,"DUE SOON","OPEN")))))</f>
        <v>CLOSED</v>
      </c>
      <c r="Q35" s="17">
        <f>IF($B35="","",IF($M35="Closed",0,1))</f>
        <v>0.0</v>
      </c>
    </row>
    <row r="36" spans="1:17">
      <c r="A36" s="17" t="str">
        <f>IF($B36="","","F-1031")</f>
        <v>F-1031</v>
      </c>
      <c r="B36" s="28" t="s">
        <v>178</v>
      </c>
      <c r="C36" s="28" t="s">
        <v>83</v>
      </c>
      <c r="D36" s="8">
        <f>IF($B36="","",IFERROR(INDEX(Audit_Log!$B$6:$B$405,MATCH($B36,Audit_Log!$A$6:$A$405,0)),""))</f>
        <v>46141.0</v>
      </c>
      <c r="E36" s="18" t="str">
        <f>IF($B36="","",IFERROR(INDEX(Audit_Log!$C$6:$C$405,MATCH($B36,Audit_Log!$A$6:$A$405,0)),""))</f>
        <v>Assembly Line 1</v>
      </c>
      <c r="F36" s="17" t="str">
        <f>IF($B36="","",IFERROR(INDEX(Audit_Log!$D$6:$D$405,MATCH($B36,Audit_Log!$A$6:$A$405,0)),""))</f>
        <v>L1</v>
      </c>
      <c r="G36" s="30" t="str">
        <f>IF($C36="","",IFERROR(INDEX(Checklist!$D$6:$D$20,MATCH($C36,Checklist!$B$6:$B$20,0)),""))</f>
        <v>Are measuring and test devices at the station within their calibration date?</v>
      </c>
      <c r="H36" s="29" t="s">
        <v>142</v>
      </c>
      <c r="I36" s="29" t="s">
        <v>146</v>
      </c>
      <c r="J36" s="29" t="s">
        <v>147</v>
      </c>
      <c r="K36" s="23" t="s">
        <v>35</v>
      </c>
      <c r="L36" s="24">
        <v>46155</v>
      </c>
      <c r="M36" s="28" t="s">
        <v>48</v>
      </c>
      <c r="N36" s="24">
        <v>46152</v>
      </c>
      <c r="O36" s="17">
        <f>IF(OR($B36="",$L36="",$M36="Closed"),"",MAX(0,Setup!$C$5-$L36))</f>
        <v/>
      </c>
      <c r="P36" s="17" t="str">
        <f>IF($B36="","",IF($M36="Closed","CLOSED",IF($L36="","NO DUE DATE",IF(Setup!$C$5&gt;$L36,"OVERDUE",IF($L36-Setup!$C$5&lt;=7,"DUE SOON","OPEN")))))</f>
        <v>CLOSED</v>
      </c>
      <c r="Q36" s="17">
        <f>IF($B36="","",IF($M36="Closed",0,1))</f>
        <v>0.0</v>
      </c>
    </row>
    <row r="37" spans="1:17">
      <c r="A37" s="17" t="str">
        <f>IF($B37="","","F-1032")</f>
        <v>F-1032</v>
      </c>
      <c r="B37" s="28" t="s">
        <v>179</v>
      </c>
      <c r="C37" s="28" t="s">
        <v>93</v>
      </c>
      <c r="D37" s="8">
        <f>IF($B37="","",IFERROR(INDEX(Audit_Log!$B$6:$B$405,MATCH($B37,Audit_Log!$A$6:$A$405,0)),""))</f>
        <v>46143.0</v>
      </c>
      <c r="E37" s="18" t="str">
        <f>IF($B37="","",IFERROR(INDEX(Audit_Log!$C$6:$C$405,MATCH($B37,Audit_Log!$A$6:$A$405,0)),""))</f>
        <v>Paint Shop</v>
      </c>
      <c r="F37" s="17" t="str">
        <f>IF($B37="","",IFERROR(INDEX(Audit_Log!$D$6:$D$405,MATCH($B37,Audit_Log!$A$6:$A$405,0)),""))</f>
        <v>L3</v>
      </c>
      <c r="G37" s="30" t="str">
        <f>IF($C37="","",IFERROR(INDEX(Checklist!$D$6:$D$20,MATCH($C37,Checklist!$B$6:$B$20,0)),""))</f>
        <v>Are all special characteristics (CC/SC) at this station checked as specified?</v>
      </c>
      <c r="H37" s="29" t="s">
        <v>149</v>
      </c>
      <c r="I37" s="29" t="s">
        <v>143</v>
      </c>
      <c r="J37" s="29" t="s">
        <v>144</v>
      </c>
      <c r="K37" s="23" t="s">
        <v>37</v>
      </c>
      <c r="L37" s="24">
        <v>46150</v>
      </c>
      <c r="M37" s="28" t="s">
        <v>48</v>
      </c>
      <c r="N37" s="24">
        <v>46147</v>
      </c>
      <c r="O37" s="17">
        <f>IF(OR($B37="",$L37="",$M37="Closed"),"",MAX(0,Setup!$C$5-$L37))</f>
        <v/>
      </c>
      <c r="P37" s="17" t="str">
        <f>IF($B37="","",IF($M37="Closed","CLOSED",IF($L37="","NO DUE DATE",IF(Setup!$C$5&gt;$L37,"OVERDUE",IF($L37-Setup!$C$5&lt;=7,"DUE SOON","OPEN")))))</f>
        <v>CLOSED</v>
      </c>
      <c r="Q37" s="17">
        <f>IF($B37="","",IF($M37="Closed",0,1))</f>
        <v>0.0</v>
      </c>
    </row>
    <row r="38" spans="1:17">
      <c r="A38" s="17" t="str">
        <f>IF($B38="","","F-1033")</f>
        <v>F-1033</v>
      </c>
      <c r="B38" s="28" t="s">
        <v>180</v>
      </c>
      <c r="C38" s="28" t="s">
        <v>83</v>
      </c>
      <c r="D38" s="8">
        <f>IF($B38="","",IFERROR(INDEX(Audit_Log!$B$6:$B$405,MATCH($B38,Audit_Log!$A$6:$A$405,0)),""))</f>
        <v>46146.0</v>
      </c>
      <c r="E38" s="18" t="str">
        <f>IF($B38="","",IFERROR(INDEX(Audit_Log!$C$6:$C$405,MATCH($B38,Audit_Log!$A$6:$A$405,0)),""))</f>
        <v>Final Test</v>
      </c>
      <c r="F38" s="17" t="str">
        <f>IF($B38="","",IFERROR(INDEX(Audit_Log!$D$6:$D$405,MATCH($B38,Audit_Log!$A$6:$A$405,0)),""))</f>
        <v>L1</v>
      </c>
      <c r="G38" s="30" t="str">
        <f>IF($C38="","",IFERROR(INDEX(Checklist!$D$6:$D$20,MATCH($C38,Checklist!$B$6:$B$20,0)),""))</f>
        <v>Are measuring and test devices at the station within their calibration date?</v>
      </c>
      <c r="H38" s="29" t="s">
        <v>145</v>
      </c>
      <c r="I38" s="29" t="s">
        <v>152</v>
      </c>
      <c r="J38" s="29" t="s">
        <v>153</v>
      </c>
      <c r="K38" s="23" t="s">
        <v>33</v>
      </c>
      <c r="L38" s="24">
        <v>46153</v>
      </c>
      <c r="M38" s="28" t="s">
        <v>48</v>
      </c>
      <c r="N38" s="24">
        <v>46151</v>
      </c>
      <c r="O38" s="17">
        <f>IF(OR($B38="",$L38="",$M38="Closed"),"",MAX(0,Setup!$C$5-$L38))</f>
        <v/>
      </c>
      <c r="P38" s="17" t="str">
        <f>IF($B38="","",IF($M38="Closed","CLOSED",IF($L38="","NO DUE DATE",IF(Setup!$C$5&gt;$L38,"OVERDUE",IF($L38-Setup!$C$5&lt;=7,"DUE SOON","OPEN")))))</f>
        <v>CLOSED</v>
      </c>
      <c r="Q38" s="17">
        <f>IF($B38="","",IF($M38="Closed",0,1))</f>
        <v>0.0</v>
      </c>
    </row>
    <row r="39" spans="1:17">
      <c r="A39" s="17" t="str">
        <f>IF($B39="","","F-1034")</f>
        <v>F-1034</v>
      </c>
      <c r="B39" s="28" t="s">
        <v>180</v>
      </c>
      <c r="C39" s="28" t="s">
        <v>93</v>
      </c>
      <c r="D39" s="8">
        <f>IF($B39="","",IFERROR(INDEX(Audit_Log!$B$6:$B$405,MATCH($B39,Audit_Log!$A$6:$A$405,0)),""))</f>
        <v>46146.0</v>
      </c>
      <c r="E39" s="18" t="str">
        <f>IF($B39="","",IFERROR(INDEX(Audit_Log!$C$6:$C$405,MATCH($B39,Audit_Log!$A$6:$A$405,0)),""))</f>
        <v>Final Test</v>
      </c>
      <c r="F39" s="17" t="str">
        <f>IF($B39="","",IFERROR(INDEX(Audit_Log!$D$6:$D$405,MATCH($B39,Audit_Log!$A$6:$A$405,0)),""))</f>
        <v>L1</v>
      </c>
      <c r="G39" s="30" t="str">
        <f>IF($C39="","",IFERROR(INDEX(Checklist!$D$6:$D$20,MATCH($C39,Checklist!$B$6:$B$20,0)),""))</f>
        <v>Are all special characteristics (CC/SC) at this station checked as specified?</v>
      </c>
      <c r="H39" s="29" t="s">
        <v>145</v>
      </c>
      <c r="I39" s="29" t="s">
        <v>143</v>
      </c>
      <c r="J39" s="29" t="s">
        <v>144</v>
      </c>
      <c r="K39" s="23" t="s">
        <v>33</v>
      </c>
      <c r="L39" s="24">
        <v>46146</v>
      </c>
      <c r="M39" s="28" t="s">
        <v>48</v>
      </c>
      <c r="N39" s="24">
        <v>46146</v>
      </c>
      <c r="O39" s="17">
        <f>IF(OR($B39="",$L39="",$M39="Closed"),"",MAX(0,Setup!$C$5-$L39))</f>
        <v/>
      </c>
      <c r="P39" s="17" t="str">
        <f>IF($B39="","",IF($M39="Closed","CLOSED",IF($L39="","NO DUE DATE",IF(Setup!$C$5&gt;$L39,"OVERDUE",IF($L39-Setup!$C$5&lt;=7,"DUE SOON","OPEN")))))</f>
        <v>CLOSED</v>
      </c>
      <c r="Q39" s="17">
        <f>IF($B39="","",IF($M39="Closed",0,1))</f>
        <v>0.0</v>
      </c>
    </row>
    <row r="40" spans="1:17">
      <c r="A40" s="17" t="str">
        <f>IF($B40="","","F-1035")</f>
        <v>F-1035</v>
      </c>
      <c r="B40" s="28" t="s">
        <v>181</v>
      </c>
      <c r="C40" s="28" t="s">
        <v>112</v>
      </c>
      <c r="D40" s="8">
        <f>IF($B40="","",IFERROR(INDEX(Audit_Log!$B$6:$B$405,MATCH($B40,Audit_Log!$A$6:$A$405,0)),""))</f>
        <v>46146.0</v>
      </c>
      <c r="E40" s="18" t="str">
        <f>IF($B40="","",IFERROR(INDEX(Audit_Log!$C$6:$C$405,MATCH($B40,Audit_Log!$A$6:$A$405,0)),""))</f>
        <v>Press Line 1</v>
      </c>
      <c r="F40" s="17" t="str">
        <f>IF($B40="","",IFERROR(INDEX(Audit_Log!$D$6:$D$405,MATCH($B40,Audit_Log!$A$6:$A$405,0)),""))</f>
        <v>L1</v>
      </c>
      <c r="G40" s="30" t="str">
        <f>IF($C40="","",IFERROR(INDEX(Checklist!$D$6:$D$20,MATCH($C40,Checklist!$B$6:$B$20,0)),""))</f>
        <v>Can the part just produced be traced back to its material batch and shift records?</v>
      </c>
      <c r="H40" s="29" t="s">
        <v>149</v>
      </c>
      <c r="I40" s="29" t="s">
        <v>158</v>
      </c>
      <c r="J40" s="29" t="s">
        <v>159</v>
      </c>
      <c r="K40" s="23" t="s">
        <v>36</v>
      </c>
      <c r="L40" s="24">
        <v>46160</v>
      </c>
      <c r="M40" s="28" t="s">
        <v>48</v>
      </c>
      <c r="N40" s="24">
        <v>46157</v>
      </c>
      <c r="O40" s="17">
        <f>IF(OR($B40="",$L40="",$M40="Closed"),"",MAX(0,Setup!$C$5-$L40))</f>
        <v/>
      </c>
      <c r="P40" s="17" t="str">
        <f>IF($B40="","",IF($M40="Closed","CLOSED",IF($L40="","NO DUE DATE",IF(Setup!$C$5&gt;$L40,"OVERDUE",IF($L40-Setup!$C$5&lt;=7,"DUE SOON","OPEN")))))</f>
        <v>CLOSED</v>
      </c>
      <c r="Q40" s="17">
        <f>IF($B40="","",IF($M40="Closed",0,1))</f>
        <v>0.0</v>
      </c>
    </row>
    <row r="41" spans="1:17">
      <c r="A41" s="17" t="str">
        <f>IF($B41="","","F-1036")</f>
        <v>F-1036</v>
      </c>
      <c r="B41" s="28" t="s">
        <v>182</v>
      </c>
      <c r="C41" s="28" t="s">
        <v>108</v>
      </c>
      <c r="D41" s="8">
        <f>IF($B41="","",IFERROR(INDEX(Audit_Log!$B$6:$B$405,MATCH($B41,Audit_Log!$A$6:$A$405,0)),""))</f>
        <v>46147.0</v>
      </c>
      <c r="E41" s="18" t="str">
        <f>IF($B41="","",IFERROR(INDEX(Audit_Log!$C$6:$C$405,MATCH($B41,Audit_Log!$A$6:$A$405,0)),""))</f>
        <v>Brazing Cell A</v>
      </c>
      <c r="F41" s="17" t="str">
        <f>IF($B41="","",IFERROR(INDEX(Audit_Log!$D$6:$D$405,MATCH($B41,Audit_Log!$A$6:$A$405,0)),""))</f>
        <v>L2</v>
      </c>
      <c r="G41" s="30" t="str">
        <f>IF($C41="","",IFERROR(INDEX(Checklist!$D$6:$D$20,MATCH($C41,Checklist!$B$6:$B$20,0)),""))</f>
        <v>Is nonconforming product segregated immediately and tagged with reason, date and name?</v>
      </c>
      <c r="H41" s="29" t="s">
        <v>145</v>
      </c>
      <c r="I41" s="29" t="s">
        <v>152</v>
      </c>
      <c r="J41" s="29" t="s">
        <v>153</v>
      </c>
      <c r="K41" s="23" t="s">
        <v>163</v>
      </c>
      <c r="L41" s="24">
        <v>46154</v>
      </c>
      <c r="M41" s="28" t="s">
        <v>48</v>
      </c>
      <c r="N41" s="24">
        <v>46151</v>
      </c>
      <c r="O41" s="17">
        <f>IF(OR($B41="",$L41="",$M41="Closed"),"",MAX(0,Setup!$C$5-$L41))</f>
        <v/>
      </c>
      <c r="P41" s="17" t="str">
        <f>IF($B41="","",IF($M41="Closed","CLOSED",IF($L41="","NO DUE DATE",IF(Setup!$C$5&gt;$L41,"OVERDUE",IF($L41-Setup!$C$5&lt;=7,"DUE SOON","OPEN")))))</f>
        <v>CLOSED</v>
      </c>
      <c r="Q41" s="17">
        <f>IF($B41="","",IF($M41="Closed",0,1))</f>
        <v>0.0</v>
      </c>
    </row>
    <row r="42" spans="1:17">
      <c r="A42" s="17" t="str">
        <f>IF($B42="","","F-1037")</f>
        <v>F-1037</v>
      </c>
      <c r="B42" s="28" t="s">
        <v>183</v>
      </c>
      <c r="C42" s="28" t="s">
        <v>104</v>
      </c>
      <c r="D42" s="8">
        <f>IF($B42="","",IFERROR(INDEX(Audit_Log!$B$6:$B$405,MATCH($B42,Audit_Log!$A$6:$A$405,0)),""))</f>
        <v>46147.0</v>
      </c>
      <c r="E42" s="18" t="str">
        <f>IF($B42="","",IFERROR(INDEX(Audit_Log!$C$6:$C$405,MATCH($B42,Audit_Log!$A$6:$A$405,0)),""))</f>
        <v>Brazing Cell A</v>
      </c>
      <c r="F42" s="17" t="str">
        <f>IF($B42="","",IFERROR(INDEX(Audit_Log!$D$6:$D$405,MATCH($B42,Audit_Log!$A$6:$A$405,0)),""))</f>
        <v>L3</v>
      </c>
      <c r="G42" s="30" t="str">
        <f>IF($C42="","",IFERROR(INDEX(Checklist!$D$6:$D$20,MATCH($C42,Checklist!$B$6:$B$20,0)),""))</f>
        <v>Are safety devices tested as scheduled and the workplace clean and 5S compliant?</v>
      </c>
      <c r="H42" s="29" t="s">
        <v>142</v>
      </c>
      <c r="I42" s="29" t="s">
        <v>155</v>
      </c>
      <c r="J42" s="29" t="s">
        <v>156</v>
      </c>
      <c r="K42" s="23" t="s">
        <v>163</v>
      </c>
      <c r="L42" s="24">
        <v>46154</v>
      </c>
      <c r="M42" s="28" t="s">
        <v>48</v>
      </c>
      <c r="N42" s="24">
        <v>46152</v>
      </c>
      <c r="O42" s="17">
        <f>IF(OR($B42="",$L42="",$M42="Closed"),"",MAX(0,Setup!$C$5-$L42))</f>
        <v/>
      </c>
      <c r="P42" s="17" t="str">
        <f>IF($B42="","",IF($M42="Closed","CLOSED",IF($L42="","NO DUE DATE",IF(Setup!$C$5&gt;$L42,"OVERDUE",IF($L42-Setup!$C$5&lt;=7,"DUE SOON","OPEN")))))</f>
        <v>CLOSED</v>
      </c>
      <c r="Q42" s="17">
        <f>IF($B42="","",IF($M42="Closed",0,1))</f>
        <v>0.0</v>
      </c>
    </row>
    <row r="43" spans="1:17">
      <c r="A43" s="17" t="str">
        <f>IF($B43="","","F-1038")</f>
        <v>F-1038</v>
      </c>
      <c r="B43" s="28" t="s">
        <v>184</v>
      </c>
      <c r="C43" s="28" t="s">
        <v>75</v>
      </c>
      <c r="D43" s="8">
        <f>IF($B43="","",IFERROR(INDEX(Audit_Log!$B$6:$B$405,MATCH($B43,Audit_Log!$A$6:$A$405,0)),""))</f>
        <v>46155.0</v>
      </c>
      <c r="E43" s="18" t="str">
        <f>IF($B43="","",IFERROR(INDEX(Audit_Log!$C$6:$C$405,MATCH($B43,Audit_Log!$A$6:$A$405,0)),""))</f>
        <v>Assembly Line 1</v>
      </c>
      <c r="F43" s="17" t="str">
        <f>IF($B43="","",IFERROR(INDEX(Audit_Log!$D$6:$D$405,MATCH($B43,Audit_Log!$A$6:$A$405,0)),""))</f>
        <v>L1</v>
      </c>
      <c r="G43" s="30" t="str">
        <f>IF($C43="","",IFERROR(INDEX(Checklist!$D$6:$D$20,MATCH($C43,Checklist!$B$6:$B$20,0)),""))</f>
        <v>Are the process parameters (force, temperature, speed) set as defined on the setup sheet?</v>
      </c>
      <c r="H43" s="29" t="s">
        <v>142</v>
      </c>
      <c r="I43" s="29" t="s">
        <v>155</v>
      </c>
      <c r="J43" s="29" t="s">
        <v>156</v>
      </c>
      <c r="K43" s="23" t="s">
        <v>35</v>
      </c>
      <c r="L43" s="24">
        <v>46155</v>
      </c>
      <c r="M43" s="28" t="s">
        <v>48</v>
      </c>
      <c r="N43" s="24">
        <v>46155</v>
      </c>
      <c r="O43" s="17">
        <f>IF(OR($B43="",$L43="",$M43="Closed"),"",MAX(0,Setup!$C$5-$L43))</f>
        <v/>
      </c>
      <c r="P43" s="17" t="str">
        <f>IF($B43="","",IF($M43="Closed","CLOSED",IF($L43="","NO DUE DATE",IF(Setup!$C$5&gt;$L43,"OVERDUE",IF($L43-Setup!$C$5&lt;=7,"DUE SOON","OPEN")))))</f>
        <v>CLOSED</v>
      </c>
      <c r="Q43" s="17">
        <f>IF($B43="","",IF($M43="Closed",0,1))</f>
        <v>0.0</v>
      </c>
    </row>
    <row r="44" spans="1:17">
      <c r="A44" s="17" t="str">
        <f>IF($B44="","","F-1039")</f>
        <v>F-1039</v>
      </c>
      <c r="B44" s="28" t="s">
        <v>185</v>
      </c>
      <c r="C44" s="28" t="s">
        <v>86</v>
      </c>
      <c r="D44" s="8">
        <f>IF($B44="","",IFERROR(INDEX(Audit_Log!$B$6:$B$405,MATCH($B44,Audit_Log!$A$6:$A$405,0)),""))</f>
        <v>46155.0</v>
      </c>
      <c r="E44" s="18" t="str">
        <f>IF($B44="","",IFERROR(INDEX(Audit_Log!$C$6:$C$405,MATCH($B44,Audit_Log!$A$6:$A$405,0)),""))</f>
        <v>Paint Shop</v>
      </c>
      <c r="F44" s="17" t="str">
        <f>IF($B44="","",IFERROR(INDEX(Audit_Log!$D$6:$D$405,MATCH($B44,Audit_Log!$A$6:$A$405,0)),""))</f>
        <v>L1</v>
      </c>
      <c r="G44" s="30" t="str">
        <f>IF($C44="","",IFERROR(INDEX(Checklist!$D$6:$D$20,MATCH($C44,Checklist!$B$6:$B$20,0)),""))</f>
        <v>Is every error-proofing device at this station active (not bypassed or disabled)?</v>
      </c>
      <c r="H44" s="29" t="s">
        <v>145</v>
      </c>
      <c r="I44" s="29" t="s">
        <v>143</v>
      </c>
      <c r="J44" s="29" t="s">
        <v>144</v>
      </c>
      <c r="K44" s="23" t="s">
        <v>37</v>
      </c>
      <c r="L44" s="24">
        <v>46162</v>
      </c>
      <c r="M44" s="28" t="s">
        <v>48</v>
      </c>
      <c r="N44" s="24">
        <v>46162</v>
      </c>
      <c r="O44" s="17">
        <f>IF(OR($B44="",$L44="",$M44="Closed"),"",MAX(0,Setup!$C$5-$L44))</f>
        <v/>
      </c>
      <c r="P44" s="17" t="str">
        <f>IF($B44="","",IF($M44="Closed","CLOSED",IF($L44="","NO DUE DATE",IF(Setup!$C$5&gt;$L44,"OVERDUE",IF($L44-Setup!$C$5&lt;=7,"DUE SOON","OPEN")))))</f>
        <v>CLOSED</v>
      </c>
      <c r="Q44" s="17">
        <f>IF($B44="","",IF($M44="Closed",0,1))</f>
        <v>0.0</v>
      </c>
    </row>
    <row r="45" spans="1:17">
      <c r="A45" s="17" t="str">
        <f>IF($B45="","","F-1040")</f>
        <v>F-1040</v>
      </c>
      <c r="B45" s="28" t="s">
        <v>186</v>
      </c>
      <c r="C45" s="28" t="s">
        <v>93</v>
      </c>
      <c r="D45" s="8">
        <f>IF($B45="","",IFERROR(INDEX(Audit_Log!$B$6:$B$405,MATCH($B45,Audit_Log!$A$6:$A$405,0)),""))</f>
        <v>46161.0</v>
      </c>
      <c r="E45" s="18" t="str">
        <f>IF($B45="","",IFERROR(INDEX(Audit_Log!$C$6:$C$405,MATCH($B45,Audit_Log!$A$6:$A$405,0)),""))</f>
        <v>Assembly Line 1</v>
      </c>
      <c r="F45" s="17" t="str">
        <f>IF($B45="","",IFERROR(INDEX(Audit_Log!$D$6:$D$405,MATCH($B45,Audit_Log!$A$6:$A$405,0)),""))</f>
        <v>L2</v>
      </c>
      <c r="G45" s="30" t="str">
        <f>IF($C45="","",IFERROR(INDEX(Checklist!$D$6:$D$20,MATCH($C45,Checklist!$B$6:$B$20,0)),""))</f>
        <v>Are all special characteristics (CC/SC) at this station checked as specified?</v>
      </c>
      <c r="H45" s="29" t="s">
        <v>145</v>
      </c>
      <c r="I45" s="29" t="s">
        <v>143</v>
      </c>
      <c r="J45" s="29" t="s">
        <v>144</v>
      </c>
      <c r="K45" s="23" t="s">
        <v>35</v>
      </c>
      <c r="L45" s="24">
        <v>46161</v>
      </c>
      <c r="M45" s="28" t="s">
        <v>48</v>
      </c>
      <c r="N45" s="24">
        <v>46161</v>
      </c>
      <c r="O45" s="17">
        <f>IF(OR($B45="",$L45="",$M45="Closed"),"",MAX(0,Setup!$C$5-$L45))</f>
        <v/>
      </c>
      <c r="P45" s="17" t="str">
        <f>IF($B45="","",IF($M45="Closed","CLOSED",IF($L45="","NO DUE DATE",IF(Setup!$C$5&gt;$L45,"OVERDUE",IF($L45-Setup!$C$5&lt;=7,"DUE SOON","OPEN")))))</f>
        <v>CLOSED</v>
      </c>
      <c r="Q45" s="17">
        <f>IF($B45="","",IF($M45="Closed",0,1))</f>
        <v>0.0</v>
      </c>
    </row>
    <row r="46" spans="1:17">
      <c r="A46" s="17" t="str">
        <f>IF($B46="","","F-1041")</f>
        <v>F-1041</v>
      </c>
      <c r="B46" s="28" t="s">
        <v>187</v>
      </c>
      <c r="C46" s="28" t="s">
        <v>79</v>
      </c>
      <c r="D46" s="8">
        <f>IF($B46="","",IFERROR(INDEX(Audit_Log!$B$6:$B$405,MATCH($B46,Audit_Log!$A$6:$A$405,0)),""))</f>
        <v>46163.0</v>
      </c>
      <c r="E46" s="18" t="str">
        <f>IF($B46="","",IFERROR(INDEX(Audit_Log!$C$6:$C$405,MATCH($B46,Audit_Log!$A$6:$A$405,0)),""))</f>
        <v>Packaging</v>
      </c>
      <c r="F46" s="17" t="str">
        <f>IF($B46="","",IFERROR(INDEX(Audit_Log!$D$6:$D$405,MATCH($B46,Audit_Log!$A$6:$A$405,0)),""))</f>
        <v>L1</v>
      </c>
      <c r="G46" s="30" t="str">
        <f>IF($C46="","",IFERROR(INDEX(Checklist!$D$6:$D$20,MATCH($C46,Checklist!$B$6:$B$20,0)),""))</f>
        <v>Are in-process checks done at the defined frequency and recorded?</v>
      </c>
      <c r="H46" s="29" t="s">
        <v>145</v>
      </c>
      <c r="I46" s="29" t="s">
        <v>143</v>
      </c>
      <c r="J46" s="29" t="s">
        <v>144</v>
      </c>
      <c r="K46" s="23" t="s">
        <v>38</v>
      </c>
      <c r="L46" s="24">
        <v>46170</v>
      </c>
      <c r="M46" s="28" t="s">
        <v>48</v>
      </c>
      <c r="N46" s="24">
        <v>46170</v>
      </c>
      <c r="O46" s="17">
        <f>IF(OR($B46="",$L46="",$M46="Closed"),"",MAX(0,Setup!$C$5-$L46))</f>
        <v/>
      </c>
      <c r="P46" s="17" t="str">
        <f>IF($B46="","",IF($M46="Closed","CLOSED",IF($L46="","NO DUE DATE",IF(Setup!$C$5&gt;$L46,"OVERDUE",IF($L46-Setup!$C$5&lt;=7,"DUE SOON","OPEN")))))</f>
        <v>CLOSED</v>
      </c>
      <c r="Q46" s="17">
        <f>IF($B46="","",IF($M46="Closed",0,1))</f>
        <v>0.0</v>
      </c>
    </row>
    <row r="47" spans="1:17">
      <c r="A47" s="17" t="str">
        <f>IF($B47="","","F-1042")</f>
        <v>F-1042</v>
      </c>
      <c r="B47" s="28" t="s">
        <v>188</v>
      </c>
      <c r="C47" s="28" t="s">
        <v>86</v>
      </c>
      <c r="D47" s="8">
        <f>IF($B47="","",IFERROR(INDEX(Audit_Log!$B$6:$B$405,MATCH($B47,Audit_Log!$A$6:$A$405,0)),""))</f>
        <v>46164.0</v>
      </c>
      <c r="E47" s="18" t="str">
        <f>IF($B47="","",IFERROR(INDEX(Audit_Log!$C$6:$C$405,MATCH($B47,Audit_Log!$A$6:$A$405,0)),""))</f>
        <v>Packaging</v>
      </c>
      <c r="F47" s="17" t="str">
        <f>IF($B47="","",IFERROR(INDEX(Audit_Log!$D$6:$D$405,MATCH($B47,Audit_Log!$A$6:$A$405,0)),""))</f>
        <v>L1</v>
      </c>
      <c r="G47" s="30" t="str">
        <f>IF($C47="","",IFERROR(INDEX(Checklist!$D$6:$D$20,MATCH($C47,Checklist!$B$6:$B$20,0)),""))</f>
        <v>Is every error-proofing device at this station active (not bypassed or disabled)?</v>
      </c>
      <c r="H47" s="29" t="s">
        <v>149</v>
      </c>
      <c r="I47" s="29" t="s">
        <v>155</v>
      </c>
      <c r="J47" s="29" t="s">
        <v>156</v>
      </c>
      <c r="K47" s="23" t="s">
        <v>38</v>
      </c>
      <c r="L47" s="24">
        <v>46178</v>
      </c>
      <c r="M47" s="28" t="s">
        <v>48</v>
      </c>
      <c r="N47" s="24">
        <v>46178</v>
      </c>
      <c r="O47" s="17">
        <f>IF(OR($B47="",$L47="",$M47="Closed"),"",MAX(0,Setup!$C$5-$L47))</f>
        <v/>
      </c>
      <c r="P47" s="17" t="str">
        <f>IF($B47="","",IF($M47="Closed","CLOSED",IF($L47="","NO DUE DATE",IF(Setup!$C$5&gt;$L47,"OVERDUE",IF($L47-Setup!$C$5&lt;=7,"DUE SOON","OPEN")))))</f>
        <v>CLOSED</v>
      </c>
      <c r="Q47" s="17">
        <f>IF($B47="","",IF($M47="Closed",0,1))</f>
        <v>0.0</v>
      </c>
    </row>
    <row r="48" spans="1:17">
      <c r="A48" s="17" t="str">
        <f>IF($B48="","","F-1043")</f>
        <v>F-1043</v>
      </c>
      <c r="B48" s="28" t="s">
        <v>188</v>
      </c>
      <c r="C48" s="28" t="s">
        <v>101</v>
      </c>
      <c r="D48" s="8">
        <f>IF($B48="","",IFERROR(INDEX(Audit_Log!$B$6:$B$405,MATCH($B48,Audit_Log!$A$6:$A$405,0)),""))</f>
        <v>46164.0</v>
      </c>
      <c r="E48" s="18" t="str">
        <f>IF($B48="","",IFERROR(INDEX(Audit_Log!$C$6:$C$405,MATCH($B48,Audit_Log!$A$6:$A$405,0)),""))</f>
        <v>Packaging</v>
      </c>
      <c r="F48" s="17" t="str">
        <f>IF($B48="","",IFERROR(INDEX(Audit_Log!$D$6:$D$405,MATCH($B48,Audit_Log!$A$6:$A$405,0)),""))</f>
        <v>L1</v>
      </c>
      <c r="G48" s="30" t="str">
        <f>IF($C48="","",IFERROR(INDEX(Checklist!$D$6:$D$20,MATCH($C48,Checklist!$B$6:$B$20,0)),""))</f>
        <v>Is the preventive-maintenance record complete for the last period?</v>
      </c>
      <c r="H48" s="29" t="s">
        <v>142</v>
      </c>
      <c r="I48" s="29" t="s">
        <v>143</v>
      </c>
      <c r="J48" s="29" t="s">
        <v>144</v>
      </c>
      <c r="K48" s="23" t="s">
        <v>38</v>
      </c>
      <c r="L48" s="24">
        <v>46178</v>
      </c>
      <c r="M48" s="28" t="s">
        <v>48</v>
      </c>
      <c r="N48" s="24">
        <v>46177</v>
      </c>
      <c r="O48" s="17">
        <f>IF(OR($B48="",$L48="",$M48="Closed"),"",MAX(0,Setup!$C$5-$L48))</f>
        <v/>
      </c>
      <c r="P48" s="17" t="str">
        <f>IF($B48="","",IF($M48="Closed","CLOSED",IF($L48="","NO DUE DATE",IF(Setup!$C$5&gt;$L48,"OVERDUE",IF($L48-Setup!$C$5&lt;=7,"DUE SOON","OPEN")))))</f>
        <v>CLOSED</v>
      </c>
      <c r="Q48" s="17">
        <f>IF($B48="","",IF($M48="Closed",0,1))</f>
        <v>0.0</v>
      </c>
    </row>
    <row r="49" spans="1:17">
      <c r="A49" s="17" t="str">
        <f>IF($B49="","","F-1044")</f>
        <v>F-1044</v>
      </c>
      <c r="B49" s="28" t="s">
        <v>189</v>
      </c>
      <c r="C49" s="28" t="s">
        <v>112</v>
      </c>
      <c r="D49" s="8">
        <f>IF($B49="","",IFERROR(INDEX(Audit_Log!$B$6:$B$405,MATCH($B49,Audit_Log!$A$6:$A$405,0)),""))</f>
        <v>46167.0</v>
      </c>
      <c r="E49" s="18" t="str">
        <f>IF($B49="","",IFERROR(INDEX(Audit_Log!$C$6:$C$405,MATCH($B49,Audit_Log!$A$6:$A$405,0)),""))</f>
        <v>Final Test</v>
      </c>
      <c r="F49" s="17" t="str">
        <f>IF($B49="","",IFERROR(INDEX(Audit_Log!$D$6:$D$405,MATCH($B49,Audit_Log!$A$6:$A$405,0)),""))</f>
        <v>L1</v>
      </c>
      <c r="G49" s="30" t="str">
        <f>IF($C49="","",IFERROR(INDEX(Checklist!$D$6:$D$20,MATCH($C49,Checklist!$B$6:$B$20,0)),""))</f>
        <v>Can the part just produced be traced back to its material batch and shift records?</v>
      </c>
      <c r="H49" s="29" t="s">
        <v>149</v>
      </c>
      <c r="I49" s="29" t="s">
        <v>146</v>
      </c>
      <c r="J49" s="29" t="s">
        <v>147</v>
      </c>
      <c r="K49" s="23" t="s">
        <v>33</v>
      </c>
      <c r="L49" s="24">
        <v>46167</v>
      </c>
      <c r="M49" s="28" t="s">
        <v>48</v>
      </c>
      <c r="N49" s="24">
        <v>46167</v>
      </c>
      <c r="O49" s="17">
        <f>IF(OR($B49="",$L49="",$M49="Closed"),"",MAX(0,Setup!$C$5-$L49))</f>
        <v/>
      </c>
      <c r="P49" s="17" t="str">
        <f>IF($B49="","",IF($M49="Closed","CLOSED",IF($L49="","NO DUE DATE",IF(Setup!$C$5&gt;$L49,"OVERDUE",IF($L49-Setup!$C$5&lt;=7,"DUE SOON","OPEN")))))</f>
        <v>CLOSED</v>
      </c>
      <c r="Q49" s="17">
        <f>IF($B49="","",IF($M49="Closed",0,1))</f>
        <v>0.0</v>
      </c>
    </row>
    <row r="50" spans="1:17">
      <c r="A50" s="17" t="str">
        <f>IF($B50="","","F-1045")</f>
        <v>F-1045</v>
      </c>
      <c r="B50" s="28" t="s">
        <v>190</v>
      </c>
      <c r="C50" s="28" t="s">
        <v>86</v>
      </c>
      <c r="D50" s="8">
        <f>IF($B50="","",IFERROR(INDEX(Audit_Log!$B$6:$B$405,MATCH($B50,Audit_Log!$A$6:$A$405,0)),""))</f>
        <v>46168.0</v>
      </c>
      <c r="E50" s="18" t="str">
        <f>IF($B50="","",IFERROR(INDEX(Audit_Log!$C$6:$C$405,MATCH($B50,Audit_Log!$A$6:$A$405,0)),""))</f>
        <v>Paint Shop</v>
      </c>
      <c r="F50" s="17" t="str">
        <f>IF($B50="","",IFERROR(INDEX(Audit_Log!$D$6:$D$405,MATCH($B50,Audit_Log!$A$6:$A$405,0)),""))</f>
        <v>L1</v>
      </c>
      <c r="G50" s="30" t="str">
        <f>IF($C50="","",IFERROR(INDEX(Checklist!$D$6:$D$20,MATCH($C50,Checklist!$B$6:$B$20,0)),""))</f>
        <v>Is every error-proofing device at this station active (not bypassed or disabled)?</v>
      </c>
      <c r="H50" s="29" t="s">
        <v>142</v>
      </c>
      <c r="I50" s="29" t="s">
        <v>143</v>
      </c>
      <c r="J50" s="29" t="s">
        <v>144</v>
      </c>
      <c r="K50" s="23" t="s">
        <v>37</v>
      </c>
      <c r="L50" s="24">
        <v>46168</v>
      </c>
      <c r="M50" s="28" t="s">
        <v>48</v>
      </c>
      <c r="N50" s="24">
        <v>46168</v>
      </c>
      <c r="O50" s="17">
        <f>IF(OR($B50="",$L50="",$M50="Closed"),"",MAX(0,Setup!$C$5-$L50))</f>
        <v/>
      </c>
      <c r="P50" s="17" t="str">
        <f>IF($B50="","",IF($M50="Closed","CLOSED",IF($L50="","NO DUE DATE",IF(Setup!$C$5&gt;$L50,"OVERDUE",IF($L50-Setup!$C$5&lt;=7,"DUE SOON","OPEN")))))</f>
        <v>CLOSED</v>
      </c>
      <c r="Q50" s="17">
        <f>IF($B50="","",IF($M50="Closed",0,1))</f>
        <v>0.0</v>
      </c>
    </row>
    <row r="51" spans="1:17">
      <c r="A51" s="17" t="str">
        <f>IF($B51="","","F-1046")</f>
        <v>F-1046</v>
      </c>
      <c r="B51" s="28" t="s">
        <v>191</v>
      </c>
      <c r="C51" s="28" t="s">
        <v>68</v>
      </c>
      <c r="D51" s="8">
        <f>IF($B51="","",IFERROR(INDEX(Audit_Log!$B$6:$B$405,MATCH($B51,Audit_Log!$A$6:$A$405,0)),""))</f>
        <v>46170.0</v>
      </c>
      <c r="E51" s="18" t="str">
        <f>IF($B51="","",IFERROR(INDEX(Audit_Log!$C$6:$C$405,MATCH($B51,Audit_Log!$A$6:$A$405,0)),""))</f>
        <v>Packaging</v>
      </c>
      <c r="F51" s="17" t="str">
        <f>IF($B51="","",IFERROR(INDEX(Audit_Log!$D$6:$D$405,MATCH($B51,Audit_Log!$A$6:$A$405,0)),""))</f>
        <v>L3</v>
      </c>
      <c r="G51" s="30" t="str">
        <f>IF($C51="","",IFERROR(INDEX(Checklist!$D$6:$D$20,MATCH($C51,Checklist!$B$6:$B$20,0)),""))</f>
        <v>Is the reaction plan visible, and does the operator know what to do with a nonconforming part?</v>
      </c>
      <c r="H51" s="29" t="s">
        <v>149</v>
      </c>
      <c r="I51" s="29" t="s">
        <v>146</v>
      </c>
      <c r="J51" s="29" t="s">
        <v>147</v>
      </c>
      <c r="K51" s="23" t="s">
        <v>38</v>
      </c>
      <c r="L51" s="24">
        <v>46170</v>
      </c>
      <c r="M51" s="28" t="s">
        <v>48</v>
      </c>
      <c r="N51" s="24">
        <v>46170</v>
      </c>
      <c r="O51" s="17">
        <f>IF(OR($B51="",$L51="",$M51="Closed"),"",MAX(0,Setup!$C$5-$L51))</f>
        <v/>
      </c>
      <c r="P51" s="17" t="str">
        <f>IF($B51="","",IF($M51="Closed","CLOSED",IF($L51="","NO DUE DATE",IF(Setup!$C$5&gt;$L51,"OVERDUE",IF($L51-Setup!$C$5&lt;=7,"DUE SOON","OPEN")))))</f>
        <v>CLOSED</v>
      </c>
      <c r="Q51" s="17">
        <f>IF($B51="","",IF($M51="Closed",0,1))</f>
        <v>0.0</v>
      </c>
    </row>
    <row r="52" spans="1:17">
      <c r="A52" s="17" t="str">
        <f>IF($B52="","","F-1047")</f>
        <v>F-1047</v>
      </c>
      <c r="B52" s="28" t="s">
        <v>192</v>
      </c>
      <c r="C52" s="28" t="s">
        <v>61</v>
      </c>
      <c r="D52" s="8">
        <f>IF($B52="","",IFERROR(INDEX(Audit_Log!$B$6:$B$405,MATCH($B52,Audit_Log!$A$6:$A$405,0)),""))</f>
        <v>46171.0</v>
      </c>
      <c r="E52" s="18" t="str">
        <f>IF($B52="","",IFERROR(INDEX(Audit_Log!$C$6:$C$405,MATCH($B52,Audit_Log!$A$6:$A$405,0)),""))</f>
        <v>Brazing Cell A</v>
      </c>
      <c r="F52" s="17" t="str">
        <f>IF($B52="","",IFERROR(INDEX(Audit_Log!$D$6:$D$405,MATCH($B52,Audit_Log!$A$6:$A$405,0)),""))</f>
        <v>L1</v>
      </c>
      <c r="G52" s="30" t="str">
        <f>IF($C52="","",IFERROR(INDEX(Checklist!$D$6:$D$20,MATCH($C52,Checklist!$B$6:$B$20,0)),""))</f>
        <v>Is the current revision of the work instruction posted at the station?</v>
      </c>
      <c r="H52" s="29" t="s">
        <v>142</v>
      </c>
      <c r="I52" s="29" t="s">
        <v>146</v>
      </c>
      <c r="J52" s="29" t="s">
        <v>147</v>
      </c>
      <c r="K52" s="23" t="s">
        <v>163</v>
      </c>
      <c r="L52" s="24">
        <v>46171</v>
      </c>
      <c r="M52" s="28" t="s">
        <v>48</v>
      </c>
      <c r="N52" s="24">
        <v>46171</v>
      </c>
      <c r="O52" s="17">
        <f>IF(OR($B52="",$L52="",$M52="Closed"),"",MAX(0,Setup!$C$5-$L52))</f>
        <v/>
      </c>
      <c r="P52" s="17" t="str">
        <f>IF($B52="","",IF($M52="Closed","CLOSED",IF($L52="","NO DUE DATE",IF(Setup!$C$5&gt;$L52,"OVERDUE",IF($L52-Setup!$C$5&lt;=7,"DUE SOON","OPEN")))))</f>
        <v>CLOSED</v>
      </c>
      <c r="Q52" s="17">
        <f>IF($B52="","",IF($M52="Closed",0,1))</f>
        <v>0.0</v>
      </c>
    </row>
    <row r="53" spans="1:17">
      <c r="A53" s="17" t="str">
        <f>IF($B53="","","F-1048")</f>
        <v>F-1048</v>
      </c>
      <c r="B53" s="28" t="s">
        <v>192</v>
      </c>
      <c r="C53" s="28" t="s">
        <v>79</v>
      </c>
      <c r="D53" s="8">
        <f>IF($B53="","",IFERROR(INDEX(Audit_Log!$B$6:$B$405,MATCH($B53,Audit_Log!$A$6:$A$405,0)),""))</f>
        <v>46171.0</v>
      </c>
      <c r="E53" s="18" t="str">
        <f>IF($B53="","",IFERROR(INDEX(Audit_Log!$C$6:$C$405,MATCH($B53,Audit_Log!$A$6:$A$405,0)),""))</f>
        <v>Brazing Cell A</v>
      </c>
      <c r="F53" s="17" t="str">
        <f>IF($B53="","",IFERROR(INDEX(Audit_Log!$D$6:$D$405,MATCH($B53,Audit_Log!$A$6:$A$405,0)),""))</f>
        <v>L1</v>
      </c>
      <c r="G53" s="30" t="str">
        <f>IF($C53="","",IFERROR(INDEX(Checklist!$D$6:$D$20,MATCH($C53,Checklist!$B$6:$B$20,0)),""))</f>
        <v>Are in-process checks done at the defined frequency and recorded?</v>
      </c>
      <c r="H53" s="29" t="s">
        <v>145</v>
      </c>
      <c r="I53" s="29" t="s">
        <v>155</v>
      </c>
      <c r="J53" s="29" t="s">
        <v>156</v>
      </c>
      <c r="K53" s="23" t="s">
        <v>163</v>
      </c>
      <c r="L53" s="24">
        <v>46185</v>
      </c>
      <c r="M53" s="28" t="s">
        <v>48</v>
      </c>
      <c r="N53" s="24">
        <v>46184</v>
      </c>
      <c r="O53" s="17">
        <f>IF(OR($B53="",$L53="",$M53="Closed"),"",MAX(0,Setup!$C$5-$L53))</f>
        <v/>
      </c>
      <c r="P53" s="17" t="str">
        <f>IF($B53="","",IF($M53="Closed","CLOSED",IF($L53="","NO DUE DATE",IF(Setup!$C$5&gt;$L53,"OVERDUE",IF($L53-Setup!$C$5&lt;=7,"DUE SOON","OPEN")))))</f>
        <v>CLOSED</v>
      </c>
      <c r="Q53" s="17">
        <f>IF($B53="","",IF($M53="Closed",0,1))</f>
        <v>0.0</v>
      </c>
    </row>
    <row r="54" spans="1:17">
      <c r="A54" s="17" t="str">
        <f>IF($B54="","","F-1049")</f>
        <v>F-1049</v>
      </c>
      <c r="B54" s="28" t="s">
        <v>193</v>
      </c>
      <c r="C54" s="28" t="s">
        <v>61</v>
      </c>
      <c r="D54" s="8">
        <f>IF($B54="","",IFERROR(INDEX(Audit_Log!$B$6:$B$405,MATCH($B54,Audit_Log!$A$6:$A$405,0)),""))</f>
        <v>46178.0</v>
      </c>
      <c r="E54" s="18" t="str">
        <f>IF($B54="","",IFERROR(INDEX(Audit_Log!$C$6:$C$405,MATCH($B54,Audit_Log!$A$6:$A$405,0)),""))</f>
        <v>Assembly Line 1</v>
      </c>
      <c r="F54" s="17" t="str">
        <f>IF($B54="","",IFERROR(INDEX(Audit_Log!$D$6:$D$405,MATCH($B54,Audit_Log!$A$6:$A$405,0)),""))</f>
        <v>L1</v>
      </c>
      <c r="G54" s="30" t="str">
        <f>IF($C54="","",IFERROR(INDEX(Checklist!$D$6:$D$20,MATCH($C54,Checklist!$B$6:$B$20,0)),""))</f>
        <v>Is the current revision of the work instruction posted at the station?</v>
      </c>
      <c r="H54" s="29" t="s">
        <v>149</v>
      </c>
      <c r="I54" s="29" t="s">
        <v>152</v>
      </c>
      <c r="J54" s="29" t="s">
        <v>153</v>
      </c>
      <c r="K54" s="23" t="s">
        <v>35</v>
      </c>
      <c r="L54" s="24">
        <v>46178</v>
      </c>
      <c r="M54" s="28" t="s">
        <v>48</v>
      </c>
      <c r="N54" s="24">
        <v>46178</v>
      </c>
      <c r="O54" s="17">
        <f>IF(OR($B54="",$L54="",$M54="Closed"),"",MAX(0,Setup!$C$5-$L54))</f>
        <v/>
      </c>
      <c r="P54" s="17" t="str">
        <f>IF($B54="","",IF($M54="Closed","CLOSED",IF($L54="","NO DUE DATE",IF(Setup!$C$5&gt;$L54,"OVERDUE",IF($L54-Setup!$C$5&lt;=7,"DUE SOON","OPEN")))))</f>
        <v>CLOSED</v>
      </c>
      <c r="Q54" s="17">
        <f>IF($B54="","",IF($M54="Closed",0,1))</f>
        <v>0.0</v>
      </c>
    </row>
    <row r="55" spans="1:17">
      <c r="A55" s="17" t="str">
        <f>IF($B55="","","F-1050")</f>
        <v>F-1050</v>
      </c>
      <c r="B55" s="28" t="s">
        <v>193</v>
      </c>
      <c r="C55" s="28" t="s">
        <v>71</v>
      </c>
      <c r="D55" s="8">
        <f>IF($B55="","",IFERROR(INDEX(Audit_Log!$B$6:$B$405,MATCH($B55,Audit_Log!$A$6:$A$405,0)),""))</f>
        <v>46178.0</v>
      </c>
      <c r="E55" s="18" t="str">
        <f>IF($B55="","",IFERROR(INDEX(Audit_Log!$C$6:$C$405,MATCH($B55,Audit_Log!$A$6:$A$405,0)),""))</f>
        <v>Assembly Line 1</v>
      </c>
      <c r="F55" s="17" t="str">
        <f>IF($B55="","",IFERROR(INDEX(Audit_Log!$D$6:$D$405,MATCH($B55,Audit_Log!$A$6:$A$405,0)),""))</f>
        <v>L1</v>
      </c>
      <c r="G55" s="30" t="str">
        <f>IF($C55="","",IFERROR(INDEX(Checklist!$D$6:$D$20,MATCH($C55,Checklist!$B$6:$B$20,0)),""))</f>
        <v>Does the batch label of the material match the production order?</v>
      </c>
      <c r="H55" s="29" t="s">
        <v>149</v>
      </c>
      <c r="I55" s="29"/>
      <c r="J55" s="29" t="s">
        <v>150</v>
      </c>
      <c r="K55" s="23" t="s">
        <v>35</v>
      </c>
      <c r="L55" s="24">
        <v>46185</v>
      </c>
      <c r="M55" s="28" t="s">
        <v>48</v>
      </c>
      <c r="N55" s="24">
        <v>46182</v>
      </c>
      <c r="O55" s="17">
        <f>IF(OR($B55="",$L55="",$M55="Closed"),"",MAX(0,Setup!$C$5-$L55))</f>
        <v/>
      </c>
      <c r="P55" s="17" t="str">
        <f>IF($B55="","",IF($M55="Closed","CLOSED",IF($L55="","NO DUE DATE",IF(Setup!$C$5&gt;$L55,"OVERDUE",IF($L55-Setup!$C$5&lt;=7,"DUE SOON","OPEN")))))</f>
        <v>CLOSED</v>
      </c>
      <c r="Q55" s="17">
        <f>IF($B55="","",IF($M55="Closed",0,1))</f>
        <v>0.0</v>
      </c>
    </row>
    <row r="56" spans="1:17">
      <c r="A56" s="17" t="str">
        <f>IF($B56="","","F-1051")</f>
        <v>F-1051</v>
      </c>
      <c r="B56" s="28" t="s">
        <v>193</v>
      </c>
      <c r="C56" s="28" t="s">
        <v>93</v>
      </c>
      <c r="D56" s="8">
        <f>IF($B56="","",IFERROR(INDEX(Audit_Log!$B$6:$B$405,MATCH($B56,Audit_Log!$A$6:$A$405,0)),""))</f>
        <v>46178.0</v>
      </c>
      <c r="E56" s="18" t="str">
        <f>IF($B56="","",IFERROR(INDEX(Audit_Log!$C$6:$C$405,MATCH($B56,Audit_Log!$A$6:$A$405,0)),""))</f>
        <v>Assembly Line 1</v>
      </c>
      <c r="F56" s="17" t="str">
        <f>IF($B56="","",IFERROR(INDEX(Audit_Log!$D$6:$D$405,MATCH($B56,Audit_Log!$A$6:$A$405,0)),""))</f>
        <v>L1</v>
      </c>
      <c r="G56" s="30" t="str">
        <f>IF($C56="","",IFERROR(INDEX(Checklist!$D$6:$D$20,MATCH($C56,Checklist!$B$6:$B$20,0)),""))</f>
        <v>Are all special characteristics (CC/SC) at this station checked as specified?</v>
      </c>
      <c r="H56" s="29" t="s">
        <v>145</v>
      </c>
      <c r="I56" s="29" t="s">
        <v>152</v>
      </c>
      <c r="J56" s="29" t="s">
        <v>153</v>
      </c>
      <c r="K56" s="23" t="s">
        <v>35</v>
      </c>
      <c r="L56" s="24">
        <v>46185</v>
      </c>
      <c r="M56" s="28" t="s">
        <v>48</v>
      </c>
      <c r="N56" s="24">
        <v>46185</v>
      </c>
      <c r="O56" s="17">
        <f>IF(OR($B56="",$L56="",$M56="Closed"),"",MAX(0,Setup!$C$5-$L56))</f>
        <v/>
      </c>
      <c r="P56" s="17" t="str">
        <f>IF($B56="","",IF($M56="Closed","CLOSED",IF($L56="","NO DUE DATE",IF(Setup!$C$5&gt;$L56,"OVERDUE",IF($L56-Setup!$C$5&lt;=7,"DUE SOON","OPEN")))))</f>
        <v>CLOSED</v>
      </c>
      <c r="Q56" s="17">
        <f>IF($B56="","",IF($M56="Closed",0,1))</f>
        <v>0.0</v>
      </c>
    </row>
    <row r="57" spans="1:17">
      <c r="A57" s="17" t="str">
        <f>IF($B57="","","F-1052")</f>
        <v>F-1052</v>
      </c>
      <c r="B57" s="28" t="s">
        <v>194</v>
      </c>
      <c r="C57" s="28" t="s">
        <v>90</v>
      </c>
      <c r="D57" s="8">
        <f>IF($B57="","",IFERROR(INDEX(Audit_Log!$B$6:$B$405,MATCH($B57,Audit_Log!$A$6:$A$405,0)),""))</f>
        <v>46181.0</v>
      </c>
      <c r="E57" s="18" t="str">
        <f>IF($B57="","",IFERROR(INDEX(Audit_Log!$C$6:$C$405,MATCH($B57,Audit_Log!$A$6:$A$405,0)),""))</f>
        <v>Final Test</v>
      </c>
      <c r="F57" s="17" t="str">
        <f>IF($B57="","",IFERROR(INDEX(Audit_Log!$D$6:$D$405,MATCH($B57,Audit_Log!$A$6:$A$405,0)),""))</f>
        <v>L1</v>
      </c>
      <c r="G57" s="30" t="str">
        <f>IF($C57="","",IFERROR(INDEX(Checklist!$D$6:$D$20,MATCH($C57,Checklist!$B$6:$B$20,0)),""))</f>
        <v>Is the missing-part or wrong-part detection working?</v>
      </c>
      <c r="H57" s="29" t="s">
        <v>149</v>
      </c>
      <c r="I57" s="29" t="s">
        <v>155</v>
      </c>
      <c r="J57" s="29" t="s">
        <v>156</v>
      </c>
      <c r="K57" s="23" t="s">
        <v>33</v>
      </c>
      <c r="L57" s="24">
        <v>46181</v>
      </c>
      <c r="M57" s="28" t="s">
        <v>48</v>
      </c>
      <c r="N57" s="24">
        <v>46181</v>
      </c>
      <c r="O57" s="17">
        <f>IF(OR($B57="",$L57="",$M57="Closed"),"",MAX(0,Setup!$C$5-$L57))</f>
        <v/>
      </c>
      <c r="P57" s="17" t="str">
        <f>IF($B57="","",IF($M57="Closed","CLOSED",IF($L57="","NO DUE DATE",IF(Setup!$C$5&gt;$L57,"OVERDUE",IF($L57-Setup!$C$5&lt;=7,"DUE SOON","OPEN")))))</f>
        <v>CLOSED</v>
      </c>
      <c r="Q57" s="17">
        <f>IF($B57="","",IF($M57="Closed",0,1))</f>
        <v>0.0</v>
      </c>
    </row>
    <row r="58" spans="1:17">
      <c r="A58" s="17" t="str">
        <f>IF($B58="","","F-1053")</f>
        <v>F-1053</v>
      </c>
      <c r="B58" s="28" t="s">
        <v>195</v>
      </c>
      <c r="C58" s="28" t="s">
        <v>108</v>
      </c>
      <c r="D58" s="8">
        <f>IF($B58="","",IFERROR(INDEX(Audit_Log!$B$6:$B$405,MATCH($B58,Audit_Log!$A$6:$A$405,0)),""))</f>
        <v>46184.0</v>
      </c>
      <c r="E58" s="18" t="str">
        <f>IF($B58="","",IFERROR(INDEX(Audit_Log!$C$6:$C$405,MATCH($B58,Audit_Log!$A$6:$A$405,0)),""))</f>
        <v>Assembly Line 1</v>
      </c>
      <c r="F58" s="17" t="str">
        <f>IF($B58="","",IFERROR(INDEX(Audit_Log!$D$6:$D$405,MATCH($B58,Audit_Log!$A$6:$A$405,0)),""))</f>
        <v>L1</v>
      </c>
      <c r="G58" s="30" t="str">
        <f>IF($C58="","",IFERROR(INDEX(Checklist!$D$6:$D$20,MATCH($C58,Checklist!$B$6:$B$20,0)),""))</f>
        <v>Is nonconforming product segregated immediately and tagged with reason, date and name?</v>
      </c>
      <c r="H58" s="29" t="s">
        <v>142</v>
      </c>
      <c r="I58" s="29" t="s">
        <v>152</v>
      </c>
      <c r="J58" s="29" t="s">
        <v>153</v>
      </c>
      <c r="K58" s="23" t="s">
        <v>35</v>
      </c>
      <c r="L58" s="24">
        <v>46191</v>
      </c>
      <c r="M58" s="28" t="s">
        <v>48</v>
      </c>
      <c r="N58" s="24">
        <v>46188</v>
      </c>
      <c r="O58" s="17">
        <f>IF(OR($B58="",$L58="",$M58="Closed"),"",MAX(0,Setup!$C$5-$L58))</f>
        <v/>
      </c>
      <c r="P58" s="17" t="str">
        <f>IF($B58="","",IF($M58="Closed","CLOSED",IF($L58="","NO DUE DATE",IF(Setup!$C$5&gt;$L58,"OVERDUE",IF($L58-Setup!$C$5&lt;=7,"DUE SOON","OPEN")))))</f>
        <v>CLOSED</v>
      </c>
      <c r="Q58" s="17">
        <f>IF($B58="","",IF($M58="Closed",0,1))</f>
        <v>0.0</v>
      </c>
    </row>
    <row r="59" spans="1:17">
      <c r="A59" s="17" t="str">
        <f>IF($B59="","","F-1054")</f>
        <v>F-1054</v>
      </c>
      <c r="B59" s="28" t="s">
        <v>196</v>
      </c>
      <c r="C59" s="28" t="s">
        <v>71</v>
      </c>
      <c r="D59" s="8">
        <f>IF($B59="","",IFERROR(INDEX(Audit_Log!$B$6:$B$405,MATCH($B59,Audit_Log!$A$6:$A$405,0)),""))</f>
        <v>46184.0</v>
      </c>
      <c r="E59" s="18" t="str">
        <f>IF($B59="","",IFERROR(INDEX(Audit_Log!$C$6:$C$405,MATCH($B59,Audit_Log!$A$6:$A$405,0)),""))</f>
        <v>Press Line 1</v>
      </c>
      <c r="F59" s="17" t="str">
        <f>IF($B59="","",IFERROR(INDEX(Audit_Log!$D$6:$D$405,MATCH($B59,Audit_Log!$A$6:$A$405,0)),""))</f>
        <v>L1</v>
      </c>
      <c r="G59" s="30" t="str">
        <f>IF($C59="","",IFERROR(INDEX(Checklist!$D$6:$D$20,MATCH($C59,Checklist!$B$6:$B$20,0)),""))</f>
        <v>Does the batch label of the material match the production order?</v>
      </c>
      <c r="H59" s="29" t="s">
        <v>149</v>
      </c>
      <c r="I59" s="29" t="s">
        <v>146</v>
      </c>
      <c r="J59" s="29" t="s">
        <v>147</v>
      </c>
      <c r="K59" s="23" t="s">
        <v>36</v>
      </c>
      <c r="L59" s="24">
        <v>46198</v>
      </c>
      <c r="M59" s="28" t="s">
        <v>48</v>
      </c>
      <c r="N59" s="24">
        <v>46197</v>
      </c>
      <c r="O59" s="17">
        <f>IF(OR($B59="",$L59="",$M59="Closed"),"",MAX(0,Setup!$C$5-$L59))</f>
        <v/>
      </c>
      <c r="P59" s="17" t="str">
        <f>IF($B59="","",IF($M59="Closed","CLOSED",IF($L59="","NO DUE DATE",IF(Setup!$C$5&gt;$L59,"OVERDUE",IF($L59-Setup!$C$5&lt;=7,"DUE SOON","OPEN")))))</f>
        <v>CLOSED</v>
      </c>
      <c r="Q59" s="17">
        <f>IF($B59="","",IF($M59="Closed",0,1))</f>
        <v>0.0</v>
      </c>
    </row>
    <row r="60" spans="1:17">
      <c r="A60" s="17" t="str">
        <f>IF($B60="","","F-1055")</f>
        <v>F-1055</v>
      </c>
      <c r="B60" s="28" t="s">
        <v>197</v>
      </c>
      <c r="C60" s="28" t="s">
        <v>65</v>
      </c>
      <c r="D60" s="8">
        <f>IF($B60="","",IFERROR(INDEX(Audit_Log!$B$6:$B$405,MATCH($B60,Audit_Log!$A$6:$A$405,0)),""))</f>
        <v>46188.0</v>
      </c>
      <c r="E60" s="18" t="str">
        <f>IF($B60="","",IFERROR(INDEX(Audit_Log!$C$6:$C$405,MATCH($B60,Audit_Log!$A$6:$A$405,0)),""))</f>
        <v>Paint Shop</v>
      </c>
      <c r="F60" s="17" t="str">
        <f>IF($B60="","",IFERROR(INDEX(Audit_Log!$D$6:$D$405,MATCH($B60,Audit_Log!$A$6:$A$405,0)),""))</f>
        <v>L1</v>
      </c>
      <c r="G60" s="30" t="str">
        <f>IF($C60="","",IFERROR(INDEX(Checklist!$D$6:$D$20,MATCH($C60,Checklist!$B$6:$B$20,0)),""))</f>
        <v>Does the operator perform the steps in the sequence defined in the work instruction?</v>
      </c>
      <c r="H60" s="29" t="s">
        <v>149</v>
      </c>
      <c r="I60" s="29" t="s">
        <v>143</v>
      </c>
      <c r="J60" s="29" t="s">
        <v>144</v>
      </c>
      <c r="K60" s="23" t="s">
        <v>37</v>
      </c>
      <c r="L60" s="24">
        <v>46202</v>
      </c>
      <c r="M60" s="28" t="s">
        <v>48</v>
      </c>
      <c r="N60" s="24">
        <v>46202</v>
      </c>
      <c r="O60" s="17">
        <f>IF(OR($B60="",$L60="",$M60="Closed"),"",MAX(0,Setup!$C$5-$L60))</f>
        <v/>
      </c>
      <c r="P60" s="17" t="str">
        <f>IF($B60="","",IF($M60="Closed","CLOSED",IF($L60="","NO DUE DATE",IF(Setup!$C$5&gt;$L60,"OVERDUE",IF($L60-Setup!$C$5&lt;=7,"DUE SOON","OPEN")))))</f>
        <v>CLOSED</v>
      </c>
      <c r="Q60" s="17">
        <f>IF($B60="","",IF($M60="Closed",0,1))</f>
        <v>0.0</v>
      </c>
    </row>
    <row r="61" spans="1:17">
      <c r="A61" s="17" t="str">
        <f>IF($B61="","","F-1056")</f>
        <v>F-1056</v>
      </c>
      <c r="B61" s="28" t="s">
        <v>198</v>
      </c>
      <c r="C61" s="28" t="s">
        <v>83</v>
      </c>
      <c r="D61" s="8">
        <f>IF($B61="","",IFERROR(INDEX(Audit_Log!$B$6:$B$405,MATCH($B61,Audit_Log!$A$6:$A$405,0)),""))</f>
        <v>46197.0</v>
      </c>
      <c r="E61" s="18" t="str">
        <f>IF($B61="","",IFERROR(INDEX(Audit_Log!$C$6:$C$405,MATCH($B61,Audit_Log!$A$6:$A$405,0)),""))</f>
        <v>Final Test</v>
      </c>
      <c r="F61" s="17" t="str">
        <f>IF($B61="","",IFERROR(INDEX(Audit_Log!$D$6:$D$405,MATCH($B61,Audit_Log!$A$6:$A$405,0)),""))</f>
        <v>L1</v>
      </c>
      <c r="G61" s="30" t="str">
        <f>IF($C61="","",IFERROR(INDEX(Checklist!$D$6:$D$20,MATCH($C61,Checklist!$B$6:$B$20,0)),""))</f>
        <v>Are measuring and test devices at the station within their calibration date?</v>
      </c>
      <c r="H61" s="29" t="s">
        <v>145</v>
      </c>
      <c r="I61" s="29" t="s">
        <v>155</v>
      </c>
      <c r="J61" s="29" t="s">
        <v>156</v>
      </c>
      <c r="K61" s="23" t="s">
        <v>33</v>
      </c>
      <c r="L61" s="24">
        <v>46204</v>
      </c>
      <c r="M61" s="28" t="s">
        <v>48</v>
      </c>
      <c r="N61" s="24">
        <v>46204</v>
      </c>
      <c r="O61" s="17">
        <f>IF(OR($B61="",$L61="",$M61="Closed"),"",MAX(0,Setup!$C$5-$L61))</f>
        <v/>
      </c>
      <c r="P61" s="17" t="str">
        <f>IF($B61="","",IF($M61="Closed","CLOSED",IF($L61="","NO DUE DATE",IF(Setup!$C$5&gt;$L61,"OVERDUE",IF($L61-Setup!$C$5&lt;=7,"DUE SOON","OPEN")))))</f>
        <v>CLOSED</v>
      </c>
      <c r="Q61" s="17">
        <f>IF($B61="","",IF($M61="Closed",0,1))</f>
        <v>0.0</v>
      </c>
    </row>
    <row r="62" spans="1:17">
      <c r="A62" s="17" t="str">
        <f>IF($B62="","","F-1057")</f>
        <v>F-1057</v>
      </c>
      <c r="B62" s="28" t="s">
        <v>199</v>
      </c>
      <c r="C62" s="28" t="s">
        <v>97</v>
      </c>
      <c r="D62" s="8">
        <f>IF($B62="","",IFERROR(INDEX(Audit_Log!$B$6:$B$405,MATCH($B62,Audit_Log!$A$6:$A$405,0)),""))</f>
        <v>46197.0</v>
      </c>
      <c r="E62" s="18" t="str">
        <f>IF($B62="","",IFERROR(INDEX(Audit_Log!$C$6:$C$405,MATCH($B62,Audit_Log!$A$6:$A$405,0)),""))</f>
        <v>Packaging</v>
      </c>
      <c r="F62" s="17" t="str">
        <f>IF($B62="","",IFERROR(INDEX(Audit_Log!$D$6:$D$405,MATCH($B62,Audit_Log!$A$6:$A$405,0)),""))</f>
        <v>L1</v>
      </c>
      <c r="G62" s="30" t="str">
        <f>IF($C62="","",IFERROR(INDEX(Checklist!$D$6:$D$20,MATCH($C62,Checklist!$B$6:$B$20,0)),""))</f>
        <v>Are tool wear and counters within the maintenance limit?</v>
      </c>
      <c r="H62" s="29" t="s">
        <v>149</v>
      </c>
      <c r="I62" s="29" t="s">
        <v>155</v>
      </c>
      <c r="J62" s="29" t="s">
        <v>156</v>
      </c>
      <c r="K62" s="23" t="s">
        <v>38</v>
      </c>
      <c r="L62" s="24">
        <v>46204</v>
      </c>
      <c r="M62" s="28" t="s">
        <v>48</v>
      </c>
      <c r="N62" s="24">
        <v>46203</v>
      </c>
      <c r="O62" s="17">
        <f>IF(OR($B62="",$L62="",$M62="Closed"),"",MAX(0,Setup!$C$5-$L62))</f>
        <v/>
      </c>
      <c r="P62" s="17" t="str">
        <f>IF($B62="","",IF($M62="Closed","CLOSED",IF($L62="","NO DUE DATE",IF(Setup!$C$5&gt;$L62,"OVERDUE",IF($L62-Setup!$C$5&lt;=7,"DUE SOON","OPEN")))))</f>
        <v>CLOSED</v>
      </c>
      <c r="Q62" s="17">
        <f>IF($B62="","",IF($M62="Closed",0,1))</f>
        <v>0.0</v>
      </c>
    </row>
    <row r="63" spans="1:17">
      <c r="A63" s="17" t="str">
        <f>IF($B63="","","F-1058")</f>
        <v>F-1058</v>
      </c>
      <c r="B63" s="28" t="s">
        <v>200</v>
      </c>
      <c r="C63" s="28" t="s">
        <v>112</v>
      </c>
      <c r="D63" s="8">
        <f>IF($B63="","",IFERROR(INDEX(Audit_Log!$B$6:$B$405,MATCH($B63,Audit_Log!$A$6:$A$405,0)),""))</f>
        <v>46198.0</v>
      </c>
      <c r="E63" s="18" t="str">
        <f>IF($B63="","",IFERROR(INDEX(Audit_Log!$C$6:$C$405,MATCH($B63,Audit_Log!$A$6:$A$405,0)),""))</f>
        <v>Brazing Cell A</v>
      </c>
      <c r="F63" s="17" t="str">
        <f>IF($B63="","",IFERROR(INDEX(Audit_Log!$D$6:$D$405,MATCH($B63,Audit_Log!$A$6:$A$405,0)),""))</f>
        <v>L2</v>
      </c>
      <c r="G63" s="30" t="str">
        <f>IF($C63="","",IFERROR(INDEX(Checklist!$D$6:$D$20,MATCH($C63,Checklist!$B$6:$B$20,0)),""))</f>
        <v>Can the part just produced be traced back to its material batch and shift records?</v>
      </c>
      <c r="H63" s="29" t="s">
        <v>142</v>
      </c>
      <c r="I63" s="29" t="s">
        <v>155</v>
      </c>
      <c r="J63" s="29" t="s">
        <v>156</v>
      </c>
      <c r="K63" s="23" t="s">
        <v>163</v>
      </c>
      <c r="L63" s="24">
        <v>46205</v>
      </c>
      <c r="M63" s="28" t="s">
        <v>48</v>
      </c>
      <c r="N63" s="24">
        <v>46203</v>
      </c>
      <c r="O63" s="17">
        <f>IF(OR($B63="",$L63="",$M63="Closed"),"",MAX(0,Setup!$C$5-$L63))</f>
        <v/>
      </c>
      <c r="P63" s="17" t="str">
        <f>IF($B63="","",IF($M63="Closed","CLOSED",IF($L63="","NO DUE DATE",IF(Setup!$C$5&gt;$L63,"OVERDUE",IF($L63-Setup!$C$5&lt;=7,"DUE SOON","OPEN")))))</f>
        <v>CLOSED</v>
      </c>
      <c r="Q63" s="17">
        <f>IF($B63="","",IF($M63="Closed",0,1))</f>
        <v>0.0</v>
      </c>
    </row>
    <row r="64" spans="1:17">
      <c r="A64" s="17" t="str">
        <f>IF($B64="","","F-1059")</f>
        <v>F-1059</v>
      </c>
      <c r="B64" s="28" t="s">
        <v>201</v>
      </c>
      <c r="C64" s="28" t="s">
        <v>61</v>
      </c>
      <c r="D64" s="8">
        <f>IF($B64="","",IFERROR(INDEX(Audit_Log!$B$6:$B$405,MATCH($B64,Audit_Log!$A$6:$A$405,0)),""))</f>
        <v>46199.0</v>
      </c>
      <c r="E64" s="18" t="str">
        <f>IF($B64="","",IFERROR(INDEX(Audit_Log!$C$6:$C$405,MATCH($B64,Audit_Log!$A$6:$A$405,0)),""))</f>
        <v>Brazing Cell A</v>
      </c>
      <c r="F64" s="17" t="str">
        <f>IF($B64="","",IFERROR(INDEX(Audit_Log!$D$6:$D$405,MATCH($B64,Audit_Log!$A$6:$A$405,0)),""))</f>
        <v>L1</v>
      </c>
      <c r="G64" s="30" t="str">
        <f>IF($C64="","",IFERROR(INDEX(Checklist!$D$6:$D$20,MATCH($C64,Checklist!$B$6:$B$20,0)),""))</f>
        <v>Is the current revision of the work instruction posted at the station?</v>
      </c>
      <c r="H64" s="29" t="s">
        <v>149</v>
      </c>
      <c r="I64" s="29" t="s">
        <v>158</v>
      </c>
      <c r="J64" s="29" t="s">
        <v>159</v>
      </c>
      <c r="K64" s="23" t="s">
        <v>163</v>
      </c>
      <c r="L64" s="24">
        <v>46206</v>
      </c>
      <c r="M64" s="28" t="s">
        <v>48</v>
      </c>
      <c r="N64" s="24">
        <v>46204</v>
      </c>
      <c r="O64" s="17">
        <f>IF(OR($B64="",$L64="",$M64="Closed"),"",MAX(0,Setup!$C$5-$L64))</f>
        <v/>
      </c>
      <c r="P64" s="17" t="str">
        <f>IF($B64="","",IF($M64="Closed","CLOSED",IF($L64="","NO DUE DATE",IF(Setup!$C$5&gt;$L64,"OVERDUE",IF($L64-Setup!$C$5&lt;=7,"DUE SOON","OPEN")))))</f>
        <v>CLOSED</v>
      </c>
      <c r="Q64" s="17">
        <f>IF($B64="","",IF($M64="Closed",0,1))</f>
        <v>0.0</v>
      </c>
    </row>
    <row r="65" spans="1:17">
      <c r="A65" s="17" t="str">
        <f>IF($B65="","","F-1060")</f>
        <v>F-1060</v>
      </c>
      <c r="B65" s="28" t="s">
        <v>202</v>
      </c>
      <c r="C65" s="28" t="s">
        <v>71</v>
      </c>
      <c r="D65" s="8">
        <f>IF($B65="","",IFERROR(INDEX(Audit_Log!$B$6:$B$405,MATCH($B65,Audit_Log!$A$6:$A$405,0)),""))</f>
        <v>46203.0</v>
      </c>
      <c r="E65" s="18" t="str">
        <f>IF($B65="","",IFERROR(INDEX(Audit_Log!$C$6:$C$405,MATCH($B65,Audit_Log!$A$6:$A$405,0)),""))</f>
        <v>Paint Shop</v>
      </c>
      <c r="F65" s="17" t="str">
        <f>IF($B65="","",IFERROR(INDEX(Audit_Log!$D$6:$D$405,MATCH($B65,Audit_Log!$A$6:$A$405,0)),""))</f>
        <v>L2</v>
      </c>
      <c r="G65" s="30" t="str">
        <f>IF($C65="","",IFERROR(INDEX(Checklist!$D$6:$D$20,MATCH($C65,Checklist!$B$6:$B$20,0)),""))</f>
        <v>Does the batch label of the material match the production order?</v>
      </c>
      <c r="H65" s="29" t="s">
        <v>149</v>
      </c>
      <c r="I65" s="29" t="s">
        <v>155</v>
      </c>
      <c r="J65" s="29" t="s">
        <v>156</v>
      </c>
      <c r="K65" s="23" t="s">
        <v>37</v>
      </c>
      <c r="L65" s="24">
        <v>46210</v>
      </c>
      <c r="M65" s="28" t="s">
        <v>48</v>
      </c>
      <c r="N65" s="24">
        <v>46208</v>
      </c>
      <c r="O65" s="17">
        <f>IF(OR($B65="",$L65="",$M65="Closed"),"",MAX(0,Setup!$C$5-$L65))</f>
        <v/>
      </c>
      <c r="P65" s="17" t="str">
        <f>IF($B65="","",IF($M65="Closed","CLOSED",IF($L65="","NO DUE DATE",IF(Setup!$C$5&gt;$L65,"OVERDUE",IF($L65-Setup!$C$5&lt;=7,"DUE SOON","OPEN")))))</f>
        <v>CLOSED</v>
      </c>
      <c r="Q65" s="17">
        <f>IF($B65="","",IF($M65="Closed",0,1))</f>
        <v>0.0</v>
      </c>
    </row>
    <row r="66" spans="1:17">
      <c r="A66" s="17" t="str">
        <f>IF($B66="","","F-1061")</f>
        <v>F-1061</v>
      </c>
      <c r="B66" s="28" t="s">
        <v>203</v>
      </c>
      <c r="C66" s="28" t="s">
        <v>79</v>
      </c>
      <c r="D66" s="8">
        <f>IF($B66="","",IFERROR(INDEX(Audit_Log!$B$6:$B$405,MATCH($B66,Audit_Log!$A$6:$A$405,0)),""))</f>
        <v>46204.0</v>
      </c>
      <c r="E66" s="18" t="str">
        <f>IF($B66="","",IFERROR(INDEX(Audit_Log!$C$6:$C$405,MATCH($B66,Audit_Log!$A$6:$A$405,0)),""))</f>
        <v>Assembly Line 1</v>
      </c>
      <c r="F66" s="17" t="str">
        <f>IF($B66="","",IFERROR(INDEX(Audit_Log!$D$6:$D$405,MATCH($B66,Audit_Log!$A$6:$A$405,0)),""))</f>
        <v>L1</v>
      </c>
      <c r="G66" s="30" t="str">
        <f>IF($C66="","",IFERROR(INDEX(Checklist!$D$6:$D$20,MATCH($C66,Checklist!$B$6:$B$20,0)),""))</f>
        <v>Are in-process checks done at the defined frequency and recorded?</v>
      </c>
      <c r="H66" s="29" t="s">
        <v>145</v>
      </c>
      <c r="I66" s="29"/>
      <c r="J66" s="29" t="s">
        <v>150</v>
      </c>
      <c r="K66" s="23" t="s">
        <v>35</v>
      </c>
      <c r="L66" s="24">
        <v>46204</v>
      </c>
      <c r="M66" s="28" t="s">
        <v>48</v>
      </c>
      <c r="N66" s="24">
        <v>46204</v>
      </c>
      <c r="O66" s="17">
        <f>IF(OR($B66="",$L66="",$M66="Closed"),"",MAX(0,Setup!$C$5-$L66))</f>
        <v/>
      </c>
      <c r="P66" s="17" t="str">
        <f>IF($B66="","",IF($M66="Closed","CLOSED",IF($L66="","NO DUE DATE",IF(Setup!$C$5&gt;$L66,"OVERDUE",IF($L66-Setup!$C$5&lt;=7,"DUE SOON","OPEN")))))</f>
        <v>CLOSED</v>
      </c>
      <c r="Q66" s="17">
        <f>IF($B66="","",IF($M66="Closed",0,1))</f>
        <v>0.0</v>
      </c>
    </row>
    <row r="67" spans="1:17">
      <c r="A67" s="17" t="str">
        <f>IF($B67="","","F-1062")</f>
        <v>F-1062</v>
      </c>
      <c r="B67" s="28" t="s">
        <v>204</v>
      </c>
      <c r="C67" s="28" t="s">
        <v>75</v>
      </c>
      <c r="D67" s="8">
        <f>IF($B67="","",IFERROR(INDEX(Audit_Log!$B$6:$B$405,MATCH($B67,Audit_Log!$A$6:$A$405,0)),""))</f>
        <v>46206.0</v>
      </c>
      <c r="E67" s="18" t="str">
        <f>IF($B67="","",IFERROR(INDEX(Audit_Log!$C$6:$C$405,MATCH($B67,Audit_Log!$A$6:$A$405,0)),""))</f>
        <v>Assembly Line 1</v>
      </c>
      <c r="F67" s="17" t="str">
        <f>IF($B67="","",IFERROR(INDEX(Audit_Log!$D$6:$D$405,MATCH($B67,Audit_Log!$A$6:$A$405,0)),""))</f>
        <v>L1</v>
      </c>
      <c r="G67" s="30" t="str">
        <f>IF($C67="","",IFERROR(INDEX(Checklist!$D$6:$D$20,MATCH($C67,Checklist!$B$6:$B$20,0)),""))</f>
        <v>Are the process parameters (force, temperature, speed) set as defined on the setup sheet?</v>
      </c>
      <c r="H67" s="29" t="s">
        <v>145</v>
      </c>
      <c r="I67" s="29"/>
      <c r="J67" s="29" t="s">
        <v>150</v>
      </c>
      <c r="K67" s="23" t="s">
        <v>35</v>
      </c>
      <c r="L67" s="24">
        <v>46206</v>
      </c>
      <c r="M67" s="28" t="s">
        <v>48</v>
      </c>
      <c r="N67" s="24">
        <v>46206</v>
      </c>
      <c r="O67" s="17">
        <f>IF(OR($B67="",$L67="",$M67="Closed"),"",MAX(0,Setup!$C$5-$L67))</f>
        <v/>
      </c>
      <c r="P67" s="17" t="str">
        <f>IF($B67="","",IF($M67="Closed","CLOSED",IF($L67="","NO DUE DATE",IF(Setup!$C$5&gt;$L67,"OVERDUE",IF($L67-Setup!$C$5&lt;=7,"DUE SOON","OPEN")))))</f>
        <v>CLOSED</v>
      </c>
      <c r="Q67" s="17">
        <f>IF($B67="","",IF($M67="Closed",0,1))</f>
        <v>0.0</v>
      </c>
    </row>
    <row r="68" spans="1:17">
      <c r="A68" s="17" t="str">
        <f>IF($B68="","","F-1063")</f>
        <v>F-1063</v>
      </c>
      <c r="B68" s="28" t="s">
        <v>205</v>
      </c>
      <c r="C68" s="28" t="s">
        <v>112</v>
      </c>
      <c r="D68" s="8">
        <f>IF($B68="","",IFERROR(INDEX(Audit_Log!$B$6:$B$405,MATCH($B68,Audit_Log!$A$6:$A$405,0)),""))</f>
        <v>46209.0</v>
      </c>
      <c r="E68" s="18" t="str">
        <f>IF($B68="","",IFERROR(INDEX(Audit_Log!$C$6:$C$405,MATCH($B68,Audit_Log!$A$6:$A$405,0)),""))</f>
        <v>Paint Shop</v>
      </c>
      <c r="F68" s="17" t="str">
        <f>IF($B68="","",IFERROR(INDEX(Audit_Log!$D$6:$D$405,MATCH($B68,Audit_Log!$A$6:$A$405,0)),""))</f>
        <v>L2</v>
      </c>
      <c r="G68" s="30" t="str">
        <f>IF($C68="","",IFERROR(INDEX(Checklist!$D$6:$D$20,MATCH($C68,Checklist!$B$6:$B$20,0)),""))</f>
        <v>Can the part just produced be traced back to its material batch and shift records?</v>
      </c>
      <c r="H68" s="29" t="s">
        <v>149</v>
      </c>
      <c r="I68" s="29" t="s">
        <v>155</v>
      </c>
      <c r="J68" s="29" t="s">
        <v>156</v>
      </c>
      <c r="K68" s="23" t="s">
        <v>37</v>
      </c>
      <c r="L68" s="24">
        <v>46209</v>
      </c>
      <c r="M68" s="28" t="s">
        <v>48</v>
      </c>
      <c r="N68" s="24">
        <v>46209</v>
      </c>
      <c r="O68" s="17">
        <f>IF(OR($B68="",$L68="",$M68="Closed"),"",MAX(0,Setup!$C$5-$L68))</f>
        <v/>
      </c>
      <c r="P68" s="17" t="str">
        <f>IF($B68="","",IF($M68="Closed","CLOSED",IF($L68="","NO DUE DATE",IF(Setup!$C$5&gt;$L68,"OVERDUE",IF($L68-Setup!$C$5&lt;=7,"DUE SOON","OPEN")))))</f>
        <v>CLOSED</v>
      </c>
      <c r="Q68" s="17">
        <f>IF($B68="","",IF($M68="Closed",0,1))</f>
        <v>0.0</v>
      </c>
    </row>
    <row r="69" spans="1:17">
      <c r="A69" s="17" t="str">
        <f>IF($B69="","","F-1064")</f>
        <v>F-1064</v>
      </c>
      <c r="B69" s="28" t="s">
        <v>206</v>
      </c>
      <c r="C69" s="28" t="s">
        <v>71</v>
      </c>
      <c r="D69" s="8">
        <f>IF($B69="","",IFERROR(INDEX(Audit_Log!$B$6:$B$405,MATCH($B69,Audit_Log!$A$6:$A$405,0)),""))</f>
        <v>46210.0</v>
      </c>
      <c r="E69" s="18" t="str">
        <f>IF($B69="","",IFERROR(INDEX(Audit_Log!$C$6:$C$405,MATCH($B69,Audit_Log!$A$6:$A$405,0)),""))</f>
        <v>Final Test</v>
      </c>
      <c r="F69" s="17" t="str">
        <f>IF($B69="","",IFERROR(INDEX(Audit_Log!$D$6:$D$405,MATCH($B69,Audit_Log!$A$6:$A$405,0)),""))</f>
        <v>L1</v>
      </c>
      <c r="G69" s="30" t="str">
        <f>IF($C69="","",IFERROR(INDEX(Checklist!$D$6:$D$20,MATCH($C69,Checklist!$B$6:$B$20,0)),""))</f>
        <v>Does the batch label of the material match the production order?</v>
      </c>
      <c r="H69" s="29" t="s">
        <v>149</v>
      </c>
      <c r="I69" s="29" t="s">
        <v>146</v>
      </c>
      <c r="J69" s="29" t="s">
        <v>147</v>
      </c>
      <c r="K69" s="23" t="s">
        <v>33</v>
      </c>
      <c r="L69" s="24">
        <v>46217</v>
      </c>
      <c r="M69" s="28" t="s">
        <v>48</v>
      </c>
      <c r="N69" s="24">
        <v>46216</v>
      </c>
      <c r="O69" s="17">
        <f>IF(OR($B69="",$L69="",$M69="Closed"),"",MAX(0,Setup!$C$5-$L69))</f>
        <v/>
      </c>
      <c r="P69" s="17" t="str">
        <f>IF($B69="","",IF($M69="Closed","CLOSED",IF($L69="","NO DUE DATE",IF(Setup!$C$5&gt;$L69,"OVERDUE",IF($L69-Setup!$C$5&lt;=7,"DUE SOON","OPEN")))))</f>
        <v>CLOSED</v>
      </c>
      <c r="Q69" s="17">
        <f>IF($B69="","",IF($M69="Closed",0,1))</f>
        <v>0.0</v>
      </c>
    </row>
    <row r="70" spans="1:17">
      <c r="A70" s="17" t="str">
        <f>IF($B70="","","F-1065")</f>
        <v>F-1065</v>
      </c>
      <c r="B70" s="28" t="s">
        <v>207</v>
      </c>
      <c r="C70" s="28" t="s">
        <v>68</v>
      </c>
      <c r="D70" s="8">
        <f>IF($B70="","",IFERROR(INDEX(Audit_Log!$B$6:$B$405,MATCH($B70,Audit_Log!$A$6:$A$405,0)),""))</f>
        <v>46210.0</v>
      </c>
      <c r="E70" s="18" t="str">
        <f>IF($B70="","",IFERROR(INDEX(Audit_Log!$C$6:$C$405,MATCH($B70,Audit_Log!$A$6:$A$405,0)),""))</f>
        <v>Press Line 1</v>
      </c>
      <c r="F70" s="17" t="str">
        <f>IF($B70="","",IFERROR(INDEX(Audit_Log!$D$6:$D$405,MATCH($B70,Audit_Log!$A$6:$A$405,0)),""))</f>
        <v>L1</v>
      </c>
      <c r="G70" s="30" t="str">
        <f>IF($C70="","",IFERROR(INDEX(Checklist!$D$6:$D$20,MATCH($C70,Checklist!$B$6:$B$20,0)),""))</f>
        <v>Is the reaction plan visible, and does the operator know what to do with a nonconforming part?</v>
      </c>
      <c r="H70" s="29" t="s">
        <v>145</v>
      </c>
      <c r="I70" s="29" t="s">
        <v>158</v>
      </c>
      <c r="J70" s="29" t="s">
        <v>159</v>
      </c>
      <c r="K70" s="23" t="s">
        <v>36</v>
      </c>
      <c r="L70" s="24">
        <v>46217</v>
      </c>
      <c r="M70" s="28" t="s">
        <v>48</v>
      </c>
      <c r="N70" s="24">
        <v>46216</v>
      </c>
      <c r="O70" s="17">
        <f>IF(OR($B70="",$L70="",$M70="Closed"),"",MAX(0,Setup!$C$5-$L70))</f>
        <v/>
      </c>
      <c r="P70" s="17" t="str">
        <f>IF($B70="","",IF($M70="Closed","CLOSED",IF($L70="","NO DUE DATE",IF(Setup!$C$5&gt;$L70,"OVERDUE",IF($L70-Setup!$C$5&lt;=7,"DUE SOON","OPEN")))))</f>
        <v>CLOSED</v>
      </c>
      <c r="Q70" s="17">
        <f>IF($B70="","",IF($M70="Closed",0,1))</f>
        <v>0.0</v>
      </c>
    </row>
    <row r="71" spans="1:17">
      <c r="A71" s="17" t="str">
        <f>IF($B71="","","F-1066")</f>
        <v>F-1066</v>
      </c>
      <c r="B71" s="28" t="s">
        <v>208</v>
      </c>
      <c r="C71" s="28" t="s">
        <v>65</v>
      </c>
      <c r="D71" s="8">
        <f>IF($B71="","",IFERROR(INDEX(Audit_Log!$B$6:$B$405,MATCH($B71,Audit_Log!$A$6:$A$405,0)),""))</f>
        <v>46218.0</v>
      </c>
      <c r="E71" s="18" t="str">
        <f>IF($B71="","",IFERROR(INDEX(Audit_Log!$C$6:$C$405,MATCH($B71,Audit_Log!$A$6:$A$405,0)),""))</f>
        <v>Brazing Cell A</v>
      </c>
      <c r="F71" s="17" t="str">
        <f>IF($B71="","",IFERROR(INDEX(Audit_Log!$D$6:$D$405,MATCH($B71,Audit_Log!$A$6:$A$405,0)),""))</f>
        <v>L2</v>
      </c>
      <c r="G71" s="30" t="str">
        <f>IF($C71="","",IFERROR(INDEX(Checklist!$D$6:$D$20,MATCH($C71,Checklist!$B$6:$B$20,0)),""))</f>
        <v>Does the operator perform the steps in the sequence defined in the work instruction?</v>
      </c>
      <c r="H71" s="29" t="s">
        <v>149</v>
      </c>
      <c r="I71" s="29"/>
      <c r="J71" s="29" t="s">
        <v>150</v>
      </c>
      <c r="K71" s="23" t="s">
        <v>163</v>
      </c>
      <c r="L71" s="24">
        <v>46225</v>
      </c>
      <c r="M71" s="28" t="s">
        <v>48</v>
      </c>
      <c r="N71" s="24">
        <v>46223</v>
      </c>
      <c r="O71" s="17">
        <f>IF(OR($B71="",$L71="",$M71="Closed"),"",MAX(0,Setup!$C$5-$L71))</f>
        <v/>
      </c>
      <c r="P71" s="17" t="str">
        <f>IF($B71="","",IF($M71="Closed","CLOSED",IF($L71="","NO DUE DATE",IF(Setup!$C$5&gt;$L71,"OVERDUE",IF($L71-Setup!$C$5&lt;=7,"DUE SOON","OPEN")))))</f>
        <v>CLOSED</v>
      </c>
      <c r="Q71" s="17">
        <f>IF($B71="","",IF($M71="Closed",0,1))</f>
        <v>0.0</v>
      </c>
    </row>
    <row r="72" spans="1:17">
      <c r="A72" s="17" t="str">
        <f>IF($B72="","","F-1067")</f>
        <v>F-1067</v>
      </c>
      <c r="B72" s="28" t="s">
        <v>209</v>
      </c>
      <c r="C72" s="28" t="s">
        <v>104</v>
      </c>
      <c r="D72" s="8">
        <f>IF($B72="","",IFERROR(INDEX(Audit_Log!$B$6:$B$405,MATCH($B72,Audit_Log!$A$6:$A$405,0)),""))</f>
        <v>46219.0</v>
      </c>
      <c r="E72" s="18" t="str">
        <f>IF($B72="","",IFERROR(INDEX(Audit_Log!$C$6:$C$405,MATCH($B72,Audit_Log!$A$6:$A$405,0)),""))</f>
        <v>Paint Shop</v>
      </c>
      <c r="F72" s="17" t="str">
        <f>IF($B72="","",IFERROR(INDEX(Audit_Log!$D$6:$D$405,MATCH($B72,Audit_Log!$A$6:$A$405,0)),""))</f>
        <v>L1</v>
      </c>
      <c r="G72" s="30" t="str">
        <f>IF($C72="","",IFERROR(INDEX(Checklist!$D$6:$D$20,MATCH($C72,Checklist!$B$6:$B$20,0)),""))</f>
        <v>Are safety devices tested as scheduled and the workplace clean and 5S compliant?</v>
      </c>
      <c r="H72" s="29" t="s">
        <v>142</v>
      </c>
      <c r="I72" s="29" t="s">
        <v>152</v>
      </c>
      <c r="J72" s="29" t="s">
        <v>153</v>
      </c>
      <c r="K72" s="23" t="s">
        <v>37</v>
      </c>
      <c r="L72" s="24">
        <v>46226</v>
      </c>
      <c r="M72" s="28" t="s">
        <v>48</v>
      </c>
      <c r="N72" s="24">
        <v>46225</v>
      </c>
      <c r="O72" s="17">
        <f>IF(OR($B72="",$L72="",$M72="Closed"),"",MAX(0,Setup!$C$5-$L72))</f>
        <v/>
      </c>
      <c r="P72" s="17" t="str">
        <f>IF($B72="","",IF($M72="Closed","CLOSED",IF($L72="","NO DUE DATE",IF(Setup!$C$5&gt;$L72,"OVERDUE",IF($L72-Setup!$C$5&lt;=7,"DUE SOON","OPEN")))))</f>
        <v>CLOSED</v>
      </c>
      <c r="Q72" s="17">
        <f>IF($B72="","",IF($M72="Closed",0,1))</f>
        <v>0.0</v>
      </c>
    </row>
    <row r="73" spans="1:17">
      <c r="A73" s="17" t="str">
        <f>IF($B73="","","F-1068")</f>
        <v>F-1068</v>
      </c>
      <c r="B73" s="28" t="s">
        <v>210</v>
      </c>
      <c r="C73" s="28" t="s">
        <v>86</v>
      </c>
      <c r="D73" s="8">
        <f>IF($B73="","",IFERROR(INDEX(Audit_Log!$B$6:$B$405,MATCH($B73,Audit_Log!$A$6:$A$405,0)),""))</f>
        <v>46220.0</v>
      </c>
      <c r="E73" s="18" t="str">
        <f>IF($B73="","",IFERROR(INDEX(Audit_Log!$C$6:$C$405,MATCH($B73,Audit_Log!$A$6:$A$405,0)),""))</f>
        <v>Final Test</v>
      </c>
      <c r="F73" s="17" t="str">
        <f>IF($B73="","",IFERROR(INDEX(Audit_Log!$D$6:$D$405,MATCH($B73,Audit_Log!$A$6:$A$405,0)),""))</f>
        <v>L1</v>
      </c>
      <c r="G73" s="30" t="str">
        <f>IF($C73="","",IFERROR(INDEX(Checklist!$D$6:$D$20,MATCH($C73,Checklist!$B$6:$B$20,0)),""))</f>
        <v>Is every error-proofing device at this station active (not bypassed or disabled)?</v>
      </c>
      <c r="H73" s="29" t="s">
        <v>145</v>
      </c>
      <c r="I73" s="29" t="s">
        <v>155</v>
      </c>
      <c r="J73" s="29" t="s">
        <v>156</v>
      </c>
      <c r="K73" s="23" t="s">
        <v>33</v>
      </c>
      <c r="L73" s="24">
        <v>46227</v>
      </c>
      <c r="M73" s="28" t="s">
        <v>48</v>
      </c>
      <c r="N73" s="24">
        <v>46227</v>
      </c>
      <c r="O73" s="17">
        <f>IF(OR($B73="",$L73="",$M73="Closed"),"",MAX(0,Setup!$C$5-$L73))</f>
        <v/>
      </c>
      <c r="P73" s="17" t="str">
        <f>IF($B73="","",IF($M73="Closed","CLOSED",IF($L73="","NO DUE DATE",IF(Setup!$C$5&gt;$L73,"OVERDUE",IF($L73-Setup!$C$5&lt;=7,"DUE SOON","OPEN")))))</f>
        <v>CLOSED</v>
      </c>
      <c r="Q73" s="17">
        <f>IF($B73="","",IF($M73="Closed",0,1))</f>
        <v>0.0</v>
      </c>
    </row>
    <row r="74" spans="1:17">
      <c r="A74" s="17" t="str">
        <f>IF($B74="","","F-1069")</f>
        <v>F-1069</v>
      </c>
      <c r="B74" s="28" t="s">
        <v>211</v>
      </c>
      <c r="C74" s="28" t="s">
        <v>112</v>
      </c>
      <c r="D74" s="8">
        <f>IF($B74="","",IFERROR(INDEX(Audit_Log!$B$6:$B$405,MATCH($B74,Audit_Log!$A$6:$A$405,0)),""))</f>
        <v>46230.0</v>
      </c>
      <c r="E74" s="18" t="str">
        <f>IF($B74="","",IFERROR(INDEX(Audit_Log!$C$6:$C$405,MATCH($B74,Audit_Log!$A$6:$A$405,0)),""))</f>
        <v>Press Line 1</v>
      </c>
      <c r="F74" s="17" t="str">
        <f>IF($B74="","",IFERROR(INDEX(Audit_Log!$D$6:$D$405,MATCH($B74,Audit_Log!$A$6:$A$405,0)),""))</f>
        <v>L2</v>
      </c>
      <c r="G74" s="30" t="str">
        <f>IF($C74="","",IFERROR(INDEX(Checklist!$D$6:$D$20,MATCH($C74,Checklist!$B$6:$B$20,0)),""))</f>
        <v>Can the part just produced be traced back to its material batch and shift records?</v>
      </c>
      <c r="H74" s="29" t="s">
        <v>142</v>
      </c>
      <c r="I74" s="29" t="s">
        <v>143</v>
      </c>
      <c r="J74" s="29" t="s">
        <v>144</v>
      </c>
      <c r="K74" s="23" t="s">
        <v>36</v>
      </c>
      <c r="L74" s="24">
        <v>46237</v>
      </c>
      <c r="M74" s="28" t="s">
        <v>48</v>
      </c>
      <c r="N74" s="24">
        <v>46236</v>
      </c>
      <c r="O74" s="17">
        <f>IF(OR($B74="",$L74="",$M74="Closed"),"",MAX(0,Setup!$C$5-$L74))</f>
        <v/>
      </c>
      <c r="P74" s="17" t="str">
        <f>IF($B74="","",IF($M74="Closed","CLOSED",IF($L74="","NO DUE DATE",IF(Setup!$C$5&gt;$L74,"OVERDUE",IF($L74-Setup!$C$5&lt;=7,"DUE SOON","OPEN")))))</f>
        <v>CLOSED</v>
      </c>
      <c r="Q74" s="17">
        <f>IF($B74="","",IF($M74="Closed",0,1))</f>
        <v>0.0</v>
      </c>
    </row>
    <row r="75" spans="1:17">
      <c r="A75" s="17" t="str">
        <f>IF($B75="","","F-1070")</f>
        <v>F-1070</v>
      </c>
      <c r="B75" s="28" t="s">
        <v>212</v>
      </c>
      <c r="C75" s="28" t="s">
        <v>79</v>
      </c>
      <c r="D75" s="8">
        <f>IF($B75="","",IFERROR(INDEX(Audit_Log!$B$6:$B$405,MATCH($B75,Audit_Log!$A$6:$A$405,0)),""))</f>
        <v>46233.0</v>
      </c>
      <c r="E75" s="18" t="str">
        <f>IF($B75="","",IFERROR(INDEX(Audit_Log!$C$6:$C$405,MATCH($B75,Audit_Log!$A$6:$A$405,0)),""))</f>
        <v>Brazing Cell A</v>
      </c>
      <c r="F75" s="17" t="str">
        <f>IF($B75="","",IFERROR(INDEX(Audit_Log!$D$6:$D$405,MATCH($B75,Audit_Log!$A$6:$A$405,0)),""))</f>
        <v>L1</v>
      </c>
      <c r="G75" s="30" t="str">
        <f>IF($C75="","",IFERROR(INDEX(Checklist!$D$6:$D$20,MATCH($C75,Checklist!$B$6:$B$20,0)),""))</f>
        <v>Are in-process checks done at the defined frequency and recorded?</v>
      </c>
      <c r="H75" s="29" t="s">
        <v>142</v>
      </c>
      <c r="I75" s="29" t="s">
        <v>146</v>
      </c>
      <c r="J75" s="29" t="s">
        <v>147</v>
      </c>
      <c r="K75" s="23" t="s">
        <v>163</v>
      </c>
      <c r="L75" s="24">
        <v>46240</v>
      </c>
      <c r="M75" s="28" t="s">
        <v>48</v>
      </c>
      <c r="N75" s="24">
        <v>46239</v>
      </c>
      <c r="O75" s="17">
        <f>IF(OR($B75="",$L75="",$M75="Closed"),"",MAX(0,Setup!$C$5-$L75))</f>
        <v/>
      </c>
      <c r="P75" s="17" t="str">
        <f>IF($B75="","",IF($M75="Closed","CLOSED",IF($L75="","NO DUE DATE",IF(Setup!$C$5&gt;$L75,"OVERDUE",IF($L75-Setup!$C$5&lt;=7,"DUE SOON","OPEN")))))</f>
        <v>CLOSED</v>
      </c>
      <c r="Q75" s="17">
        <f>IF($B75="","",IF($M75="Closed",0,1))</f>
        <v>0.0</v>
      </c>
    </row>
    <row r="76" spans="1:17">
      <c r="A76" s="17" t="str">
        <f>IF($B76="","","F-1071")</f>
        <v>F-1071</v>
      </c>
      <c r="B76" s="28" t="s">
        <v>213</v>
      </c>
      <c r="C76" s="28" t="s">
        <v>79</v>
      </c>
      <c r="D76" s="8">
        <f>IF($B76="","",IFERROR(INDEX(Audit_Log!$B$6:$B$405,MATCH($B76,Audit_Log!$A$6:$A$405,0)),""))</f>
        <v>46234.0</v>
      </c>
      <c r="E76" s="18" t="str">
        <f>IF($B76="","",IFERROR(INDEX(Audit_Log!$C$6:$C$405,MATCH($B76,Audit_Log!$A$6:$A$405,0)),""))</f>
        <v>Packaging</v>
      </c>
      <c r="F76" s="17" t="str">
        <f>IF($B76="","",IFERROR(INDEX(Audit_Log!$D$6:$D$405,MATCH($B76,Audit_Log!$A$6:$A$405,0)),""))</f>
        <v>L3</v>
      </c>
      <c r="G76" s="30" t="str">
        <f>IF($C76="","",IFERROR(INDEX(Checklist!$D$6:$D$20,MATCH($C76,Checklist!$B$6:$B$20,0)),""))</f>
        <v>Are in-process checks done at the defined frequency and recorded?</v>
      </c>
      <c r="H76" s="29" t="s">
        <v>149</v>
      </c>
      <c r="I76" s="29" t="s">
        <v>143</v>
      </c>
      <c r="J76" s="29" t="s">
        <v>144</v>
      </c>
      <c r="K76" s="23" t="s">
        <v>38</v>
      </c>
      <c r="L76" s="24">
        <v>46241</v>
      </c>
      <c r="M76" s="28" t="s">
        <v>48</v>
      </c>
      <c r="N76" s="24">
        <v>46239</v>
      </c>
      <c r="O76" s="17">
        <f>IF(OR($B76="",$L76="",$M76="Closed"),"",MAX(0,Setup!$C$5-$L76))</f>
        <v/>
      </c>
      <c r="P76" s="17" t="str">
        <f>IF($B76="","",IF($M76="Closed","CLOSED",IF($L76="","NO DUE DATE",IF(Setup!$C$5&gt;$L76,"OVERDUE",IF($L76-Setup!$C$5&lt;=7,"DUE SOON","OPEN")))))</f>
        <v>CLOSED</v>
      </c>
      <c r="Q76" s="17">
        <f>IF($B76="","",IF($M76="Closed",0,1))</f>
        <v>0.0</v>
      </c>
    </row>
    <row r="77" spans="1:17">
      <c r="A77" s="17" t="str">
        <f>IF($B77="","","F-1072")</f>
        <v>F-1072</v>
      </c>
      <c r="B77" s="28" t="s">
        <v>213</v>
      </c>
      <c r="C77" s="28" t="s">
        <v>108</v>
      </c>
      <c r="D77" s="8">
        <f>IF($B77="","",IFERROR(INDEX(Audit_Log!$B$6:$B$405,MATCH($B77,Audit_Log!$A$6:$A$405,0)),""))</f>
        <v>46234.0</v>
      </c>
      <c r="E77" s="18" t="str">
        <f>IF($B77="","",IFERROR(INDEX(Audit_Log!$C$6:$C$405,MATCH($B77,Audit_Log!$A$6:$A$405,0)),""))</f>
        <v>Packaging</v>
      </c>
      <c r="F77" s="17" t="str">
        <f>IF($B77="","",IFERROR(INDEX(Audit_Log!$D$6:$D$405,MATCH($B77,Audit_Log!$A$6:$A$405,0)),""))</f>
        <v>L3</v>
      </c>
      <c r="G77" s="30" t="str">
        <f>IF($C77="","",IFERROR(INDEX(Checklist!$D$6:$D$20,MATCH($C77,Checklist!$B$6:$B$20,0)),""))</f>
        <v>Is nonconforming product segregated immediately and tagged with reason, date and name?</v>
      </c>
      <c r="H77" s="29" t="s">
        <v>142</v>
      </c>
      <c r="I77" s="29" t="s">
        <v>155</v>
      </c>
      <c r="J77" s="29" t="s">
        <v>156</v>
      </c>
      <c r="K77" s="23" t="s">
        <v>38</v>
      </c>
      <c r="L77" s="24">
        <v>46241</v>
      </c>
      <c r="M77" s="28" t="s">
        <v>48</v>
      </c>
      <c r="N77" s="24">
        <v>46239</v>
      </c>
      <c r="O77" s="17">
        <f>IF(OR($B77="",$L77="",$M77="Closed"),"",MAX(0,Setup!$C$5-$L77))</f>
        <v/>
      </c>
      <c r="P77" s="17" t="str">
        <f>IF($B77="","",IF($M77="Closed","CLOSED",IF($L77="","NO DUE DATE",IF(Setup!$C$5&gt;$L77,"OVERDUE",IF($L77-Setup!$C$5&lt;=7,"DUE SOON","OPEN")))))</f>
        <v>CLOSED</v>
      </c>
      <c r="Q77" s="17">
        <f>IF($B77="","",IF($M77="Closed",0,1))</f>
        <v>0.0</v>
      </c>
    </row>
    <row r="78" spans="1:17">
      <c r="A78" s="17" t="str">
        <f>IF($B78="","","F-1073")</f>
        <v>F-1073</v>
      </c>
      <c r="B78" s="28" t="s">
        <v>214</v>
      </c>
      <c r="C78" s="28" t="s">
        <v>86</v>
      </c>
      <c r="D78" s="8">
        <f>IF($B78="","",IFERROR(INDEX(Audit_Log!$B$6:$B$405,MATCH($B78,Audit_Log!$A$6:$A$405,0)),""))</f>
        <v>46239.0</v>
      </c>
      <c r="E78" s="18" t="str">
        <f>IF($B78="","",IFERROR(INDEX(Audit_Log!$C$6:$C$405,MATCH($B78,Audit_Log!$A$6:$A$405,0)),""))</f>
        <v>Final Test</v>
      </c>
      <c r="F78" s="17" t="str">
        <f>IF($B78="","",IFERROR(INDEX(Audit_Log!$D$6:$D$405,MATCH($B78,Audit_Log!$A$6:$A$405,0)),""))</f>
        <v>L1</v>
      </c>
      <c r="G78" s="30" t="str">
        <f>IF($C78="","",IFERROR(INDEX(Checklist!$D$6:$D$20,MATCH($C78,Checklist!$B$6:$B$20,0)),""))</f>
        <v>Is every error-proofing device at this station active (not bypassed or disabled)?</v>
      </c>
      <c r="H78" s="29" t="s">
        <v>142</v>
      </c>
      <c r="I78" s="29" t="s">
        <v>152</v>
      </c>
      <c r="J78" s="29" t="s">
        <v>153</v>
      </c>
      <c r="K78" s="23" t="s">
        <v>33</v>
      </c>
      <c r="L78" s="24">
        <v>46239</v>
      </c>
      <c r="M78" s="28" t="s">
        <v>48</v>
      </c>
      <c r="N78" s="24">
        <v>46239</v>
      </c>
      <c r="O78" s="17">
        <f>IF(OR($B78="",$L78="",$M78="Closed"),"",MAX(0,Setup!$C$5-$L78))</f>
        <v/>
      </c>
      <c r="P78" s="17" t="str">
        <f>IF($B78="","",IF($M78="Closed","CLOSED",IF($L78="","NO DUE DATE",IF(Setup!$C$5&gt;$L78,"OVERDUE",IF($L78-Setup!$C$5&lt;=7,"DUE SOON","OPEN")))))</f>
        <v>CLOSED</v>
      </c>
      <c r="Q78" s="17">
        <f>IF($B78="","",IF($M78="Closed",0,1))</f>
        <v>0.0</v>
      </c>
    </row>
    <row r="79" spans="1:17">
      <c r="A79" s="17" t="str">
        <f>IF($B79="","","F-1074")</f>
        <v>F-1074</v>
      </c>
      <c r="B79" s="28" t="s">
        <v>215</v>
      </c>
      <c r="C79" s="28" t="s">
        <v>68</v>
      </c>
      <c r="D79" s="8">
        <f>IF($B79="","",IFERROR(INDEX(Audit_Log!$B$6:$B$405,MATCH($B79,Audit_Log!$A$6:$A$405,0)),""))</f>
        <v>46245.0</v>
      </c>
      <c r="E79" s="18" t="str">
        <f>IF($B79="","",IFERROR(INDEX(Audit_Log!$C$6:$C$405,MATCH($B79,Audit_Log!$A$6:$A$405,0)),""))</f>
        <v>Brazing Cell A</v>
      </c>
      <c r="F79" s="17" t="str">
        <f>IF($B79="","",IFERROR(INDEX(Audit_Log!$D$6:$D$405,MATCH($B79,Audit_Log!$A$6:$A$405,0)),""))</f>
        <v>L1</v>
      </c>
      <c r="G79" s="30" t="str">
        <f>IF($C79="","",IFERROR(INDEX(Checklist!$D$6:$D$20,MATCH($C79,Checklist!$B$6:$B$20,0)),""))</f>
        <v>Is the reaction plan visible, and does the operator know what to do with a nonconforming part?</v>
      </c>
      <c r="H79" s="29" t="s">
        <v>149</v>
      </c>
      <c r="I79" s="29" t="s">
        <v>155</v>
      </c>
      <c r="J79" s="29" t="s">
        <v>156</v>
      </c>
      <c r="K79" s="23" t="s">
        <v>163</v>
      </c>
      <c r="L79" s="24">
        <v>46252</v>
      </c>
      <c r="M79" s="28" t="s">
        <v>48</v>
      </c>
      <c r="N79" s="24">
        <v>46250</v>
      </c>
      <c r="O79" s="17">
        <f>IF(OR($B79="",$L79="",$M79="Closed"),"",MAX(0,Setup!$C$5-$L79))</f>
        <v/>
      </c>
      <c r="P79" s="17" t="str">
        <f>IF($B79="","",IF($M79="Closed","CLOSED",IF($L79="","NO DUE DATE",IF(Setup!$C$5&gt;$L79,"OVERDUE",IF($L79-Setup!$C$5&lt;=7,"DUE SOON","OPEN")))))</f>
        <v>CLOSED</v>
      </c>
      <c r="Q79" s="17">
        <f>IF($B79="","",IF($M79="Closed",0,1))</f>
        <v>0.0</v>
      </c>
    </row>
    <row r="80" spans="1:17">
      <c r="A80" s="17" t="str">
        <f>IF($B80="","","F-1075")</f>
        <v>F-1075</v>
      </c>
      <c r="B80" s="28" t="s">
        <v>215</v>
      </c>
      <c r="C80" s="28" t="s">
        <v>79</v>
      </c>
      <c r="D80" s="8">
        <f>IF($B80="","",IFERROR(INDEX(Audit_Log!$B$6:$B$405,MATCH($B80,Audit_Log!$A$6:$A$405,0)),""))</f>
        <v>46245.0</v>
      </c>
      <c r="E80" s="18" t="str">
        <f>IF($B80="","",IFERROR(INDEX(Audit_Log!$C$6:$C$405,MATCH($B80,Audit_Log!$A$6:$A$405,0)),""))</f>
        <v>Brazing Cell A</v>
      </c>
      <c r="F80" s="17" t="str">
        <f>IF($B80="","",IFERROR(INDEX(Audit_Log!$D$6:$D$405,MATCH($B80,Audit_Log!$A$6:$A$405,0)),""))</f>
        <v>L1</v>
      </c>
      <c r="G80" s="30" t="str">
        <f>IF($C80="","",IFERROR(INDEX(Checklist!$D$6:$D$20,MATCH($C80,Checklist!$B$6:$B$20,0)),""))</f>
        <v>Are in-process checks done at the defined frequency and recorded?</v>
      </c>
      <c r="H80" s="29" t="s">
        <v>149</v>
      </c>
      <c r="I80" s="29" t="s">
        <v>158</v>
      </c>
      <c r="J80" s="29" t="s">
        <v>159</v>
      </c>
      <c r="K80" s="23" t="s">
        <v>163</v>
      </c>
      <c r="L80" s="24">
        <v>46259</v>
      </c>
      <c r="M80" s="28" t="s">
        <v>48</v>
      </c>
      <c r="N80" s="24">
        <v>46257</v>
      </c>
      <c r="O80" s="17">
        <f>IF(OR($B80="",$L80="",$M80="Closed"),"",MAX(0,Setup!$C$5-$L80))</f>
        <v/>
      </c>
      <c r="P80" s="17" t="str">
        <f>IF($B80="","",IF($M80="Closed","CLOSED",IF($L80="","NO DUE DATE",IF(Setup!$C$5&gt;$L80,"OVERDUE",IF($L80-Setup!$C$5&lt;=7,"DUE SOON","OPEN")))))</f>
        <v>CLOSED</v>
      </c>
      <c r="Q80" s="17">
        <f>IF($B80="","",IF($M80="Closed",0,1))</f>
        <v>0.0</v>
      </c>
    </row>
    <row r="81" spans="1:17">
      <c r="A81" s="17" t="str">
        <f>IF($B81="","","F-1076")</f>
        <v>F-1076</v>
      </c>
      <c r="B81" s="28" t="s">
        <v>216</v>
      </c>
      <c r="C81" s="28" t="s">
        <v>68</v>
      </c>
      <c r="D81" s="8">
        <f>IF($B81="","",IFERROR(INDEX(Audit_Log!$B$6:$B$405,MATCH($B81,Audit_Log!$A$6:$A$405,0)),""))</f>
        <v>46253.0</v>
      </c>
      <c r="E81" s="18" t="str">
        <f>IF($B81="","",IFERROR(INDEX(Audit_Log!$C$6:$C$405,MATCH($B81,Audit_Log!$A$6:$A$405,0)),""))</f>
        <v>Paint Shop</v>
      </c>
      <c r="F81" s="17" t="str">
        <f>IF($B81="","",IFERROR(INDEX(Audit_Log!$D$6:$D$405,MATCH($B81,Audit_Log!$A$6:$A$405,0)),""))</f>
        <v>L1</v>
      </c>
      <c r="G81" s="30" t="str">
        <f>IF($C81="","",IFERROR(INDEX(Checklist!$D$6:$D$20,MATCH($C81,Checklist!$B$6:$B$20,0)),""))</f>
        <v>Is the reaction plan visible, and does the operator know what to do with a nonconforming part?</v>
      </c>
      <c r="H81" s="29" t="s">
        <v>142</v>
      </c>
      <c r="I81" s="29" t="s">
        <v>143</v>
      </c>
      <c r="J81" s="29" t="s">
        <v>144</v>
      </c>
      <c r="K81" s="23" t="s">
        <v>37</v>
      </c>
      <c r="L81" s="24">
        <v>46253</v>
      </c>
      <c r="M81" s="28" t="s">
        <v>48</v>
      </c>
      <c r="N81" s="24">
        <v>46253</v>
      </c>
      <c r="O81" s="17">
        <f>IF(OR($B81="",$L81="",$M81="Closed"),"",MAX(0,Setup!$C$5-$L81))</f>
        <v/>
      </c>
      <c r="P81" s="17" t="str">
        <f>IF($B81="","",IF($M81="Closed","CLOSED",IF($L81="","NO DUE DATE",IF(Setup!$C$5&gt;$L81,"OVERDUE",IF($L81-Setup!$C$5&lt;=7,"DUE SOON","OPEN")))))</f>
        <v>CLOSED</v>
      </c>
      <c r="Q81" s="17">
        <f>IF($B81="","",IF($M81="Closed",0,1))</f>
        <v>0.0</v>
      </c>
    </row>
    <row r="82" spans="1:17">
      <c r="A82" s="17" t="str">
        <f>IF($B82="","","F-1077")</f>
        <v>F-1077</v>
      </c>
      <c r="B82" s="28" t="s">
        <v>216</v>
      </c>
      <c r="C82" s="28" t="s">
        <v>79</v>
      </c>
      <c r="D82" s="8">
        <f>IF($B82="","",IFERROR(INDEX(Audit_Log!$B$6:$B$405,MATCH($B82,Audit_Log!$A$6:$A$405,0)),""))</f>
        <v>46253.0</v>
      </c>
      <c r="E82" s="18" t="str">
        <f>IF($B82="","",IFERROR(INDEX(Audit_Log!$C$6:$C$405,MATCH($B82,Audit_Log!$A$6:$A$405,0)),""))</f>
        <v>Paint Shop</v>
      </c>
      <c r="F82" s="17" t="str">
        <f>IF($B82="","",IFERROR(INDEX(Audit_Log!$D$6:$D$405,MATCH($B82,Audit_Log!$A$6:$A$405,0)),""))</f>
        <v>L1</v>
      </c>
      <c r="G82" s="30" t="str">
        <f>IF($C82="","",IFERROR(INDEX(Checklist!$D$6:$D$20,MATCH($C82,Checklist!$B$6:$B$20,0)),""))</f>
        <v>Are in-process checks done at the defined frequency and recorded?</v>
      </c>
      <c r="H82" s="29" t="s">
        <v>149</v>
      </c>
      <c r="I82" s="29" t="s">
        <v>155</v>
      </c>
      <c r="J82" s="29" t="s">
        <v>156</v>
      </c>
      <c r="K82" s="23" t="s">
        <v>37</v>
      </c>
      <c r="L82" s="24">
        <v>46267</v>
      </c>
      <c r="M82" s="28" t="s">
        <v>48</v>
      </c>
      <c r="N82" s="24">
        <v>46264</v>
      </c>
      <c r="O82" s="17">
        <f>IF(OR($B82="",$L82="",$M82="Closed"),"",MAX(0,Setup!$C$5-$L82))</f>
        <v/>
      </c>
      <c r="P82" s="17" t="str">
        <f>IF($B82="","",IF($M82="Closed","CLOSED",IF($L82="","NO DUE DATE",IF(Setup!$C$5&gt;$L82,"OVERDUE",IF($L82-Setup!$C$5&lt;=7,"DUE SOON","OPEN")))))</f>
        <v>CLOSED</v>
      </c>
      <c r="Q82" s="17">
        <f>IF($B82="","",IF($M82="Closed",0,1))</f>
        <v>0.0</v>
      </c>
    </row>
    <row r="83" spans="1:17">
      <c r="A83" s="17" t="str">
        <f>IF($B83="","","F-1078")</f>
        <v>F-1078</v>
      </c>
      <c r="B83" s="28" t="s">
        <v>216</v>
      </c>
      <c r="C83" s="28" t="s">
        <v>83</v>
      </c>
      <c r="D83" s="8">
        <f>IF($B83="","",IFERROR(INDEX(Audit_Log!$B$6:$B$405,MATCH($B83,Audit_Log!$A$6:$A$405,0)),""))</f>
        <v>46253.0</v>
      </c>
      <c r="E83" s="18" t="str">
        <f>IF($B83="","",IFERROR(INDEX(Audit_Log!$C$6:$C$405,MATCH($B83,Audit_Log!$A$6:$A$405,0)),""))</f>
        <v>Paint Shop</v>
      </c>
      <c r="F83" s="17" t="str">
        <f>IF($B83="","",IFERROR(INDEX(Audit_Log!$D$6:$D$405,MATCH($B83,Audit_Log!$A$6:$A$405,0)),""))</f>
        <v>L1</v>
      </c>
      <c r="G83" s="30" t="str">
        <f>IF($C83="","",IFERROR(INDEX(Checklist!$D$6:$D$20,MATCH($C83,Checklist!$B$6:$B$20,0)),""))</f>
        <v>Are measuring and test devices at the station within their calibration date?</v>
      </c>
      <c r="H83" s="29" t="s">
        <v>142</v>
      </c>
      <c r="I83" s="29" t="s">
        <v>152</v>
      </c>
      <c r="J83" s="29" t="s">
        <v>153</v>
      </c>
      <c r="K83" s="23" t="s">
        <v>37</v>
      </c>
      <c r="L83" s="24">
        <v>46253</v>
      </c>
      <c r="M83" s="28" t="s">
        <v>48</v>
      </c>
      <c r="N83" s="24">
        <v>46253</v>
      </c>
      <c r="O83" s="17">
        <f>IF(OR($B83="",$L83="",$M83="Closed"),"",MAX(0,Setup!$C$5-$L83))</f>
        <v/>
      </c>
      <c r="P83" s="17" t="str">
        <f>IF($B83="","",IF($M83="Closed","CLOSED",IF($L83="","NO DUE DATE",IF(Setup!$C$5&gt;$L83,"OVERDUE",IF($L83-Setup!$C$5&lt;=7,"DUE SOON","OPEN")))))</f>
        <v>CLOSED</v>
      </c>
      <c r="Q83" s="17">
        <f>IF($B83="","",IF($M83="Closed",0,1))</f>
        <v>0.0</v>
      </c>
    </row>
    <row r="84" spans="1:17">
      <c r="A84" s="17" t="str">
        <f>IF($B84="","","F-1079")</f>
        <v>F-1079</v>
      </c>
      <c r="B84" s="28" t="s">
        <v>217</v>
      </c>
      <c r="C84" s="28" t="s">
        <v>61</v>
      </c>
      <c r="D84" s="8">
        <f>IF($B84="","",IFERROR(INDEX(Audit_Log!$B$6:$B$405,MATCH($B84,Audit_Log!$A$6:$A$405,0)),""))</f>
        <v>46254.0</v>
      </c>
      <c r="E84" s="18" t="str">
        <f>IF($B84="","",IFERROR(INDEX(Audit_Log!$C$6:$C$405,MATCH($B84,Audit_Log!$A$6:$A$405,0)),""))</f>
        <v>Assembly Line 1</v>
      </c>
      <c r="F84" s="17" t="str">
        <f>IF($B84="","",IFERROR(INDEX(Audit_Log!$D$6:$D$405,MATCH($B84,Audit_Log!$A$6:$A$405,0)),""))</f>
        <v>L3</v>
      </c>
      <c r="G84" s="30" t="str">
        <f>IF($C84="","",IFERROR(INDEX(Checklist!$D$6:$D$20,MATCH($C84,Checklist!$B$6:$B$20,0)),""))</f>
        <v>Is the current revision of the work instruction posted at the station?</v>
      </c>
      <c r="H84" s="29" t="s">
        <v>149</v>
      </c>
      <c r="I84" s="29" t="s">
        <v>152</v>
      </c>
      <c r="J84" s="29" t="s">
        <v>153</v>
      </c>
      <c r="K84" s="23" t="s">
        <v>35</v>
      </c>
      <c r="L84" s="24">
        <v>46261</v>
      </c>
      <c r="M84" s="28" t="s">
        <v>48</v>
      </c>
      <c r="N84" s="24">
        <v>46260</v>
      </c>
      <c r="O84" s="17">
        <f>IF(OR($B84="",$L84="",$M84="Closed"),"",MAX(0,Setup!$C$5-$L84))</f>
        <v/>
      </c>
      <c r="P84" s="17" t="str">
        <f>IF($B84="","",IF($M84="Closed","CLOSED",IF($L84="","NO DUE DATE",IF(Setup!$C$5&gt;$L84,"OVERDUE",IF($L84-Setup!$C$5&lt;=7,"DUE SOON","OPEN")))))</f>
        <v>CLOSED</v>
      </c>
      <c r="Q84" s="17">
        <f>IF($B84="","",IF($M84="Closed",0,1))</f>
        <v>0.0</v>
      </c>
    </row>
    <row r="85" spans="1:17">
      <c r="A85" s="17" t="str">
        <f>IF($B85="","","F-1080")</f>
        <v>F-1080</v>
      </c>
      <c r="B85" s="28" t="s">
        <v>218</v>
      </c>
      <c r="C85" s="28" t="s">
        <v>68</v>
      </c>
      <c r="D85" s="8">
        <f>IF($B85="","",IFERROR(INDEX(Audit_Log!$B$6:$B$405,MATCH($B85,Audit_Log!$A$6:$A$405,0)),""))</f>
        <v>46255.0</v>
      </c>
      <c r="E85" s="18" t="str">
        <f>IF($B85="","",IFERROR(INDEX(Audit_Log!$C$6:$C$405,MATCH($B85,Audit_Log!$A$6:$A$405,0)),""))</f>
        <v>Brazing Cell A</v>
      </c>
      <c r="F85" s="17" t="str">
        <f>IF($B85="","",IFERROR(INDEX(Audit_Log!$D$6:$D$405,MATCH($B85,Audit_Log!$A$6:$A$405,0)),""))</f>
        <v>L1</v>
      </c>
      <c r="G85" s="30" t="str">
        <f>IF($C85="","",IFERROR(INDEX(Checklist!$D$6:$D$20,MATCH($C85,Checklist!$B$6:$B$20,0)),""))</f>
        <v>Is the reaction plan visible, and does the operator know what to do with a nonconforming part?</v>
      </c>
      <c r="H85" s="29" t="s">
        <v>149</v>
      </c>
      <c r="I85" s="29" t="s">
        <v>155</v>
      </c>
      <c r="J85" s="29" t="s">
        <v>156</v>
      </c>
      <c r="K85" s="23" t="s">
        <v>163</v>
      </c>
      <c r="L85" s="24">
        <v>46255</v>
      </c>
      <c r="M85" s="28" t="s">
        <v>48</v>
      </c>
      <c r="N85" s="24">
        <v>46255</v>
      </c>
      <c r="O85" s="17">
        <f>IF(OR($B85="",$L85="",$M85="Closed"),"",MAX(0,Setup!$C$5-$L85))</f>
        <v/>
      </c>
      <c r="P85" s="17" t="str">
        <f>IF($B85="","",IF($M85="Closed","CLOSED",IF($L85="","NO DUE DATE",IF(Setup!$C$5&gt;$L85,"OVERDUE",IF($L85-Setup!$C$5&lt;=7,"DUE SOON","OPEN")))))</f>
        <v>CLOSED</v>
      </c>
      <c r="Q85" s="17">
        <f>IF($B85="","",IF($M85="Closed",0,1))</f>
        <v>0.0</v>
      </c>
    </row>
    <row r="86" spans="1:17">
      <c r="A86" s="17" t="str">
        <f>IF($B86="","","F-1081")</f>
        <v>F-1081</v>
      </c>
      <c r="B86" s="28" t="s">
        <v>219</v>
      </c>
      <c r="C86" s="28" t="s">
        <v>65</v>
      </c>
      <c r="D86" s="8">
        <f>IF($B86="","",IFERROR(INDEX(Audit_Log!$B$6:$B$405,MATCH($B86,Audit_Log!$A$6:$A$405,0)),""))</f>
        <v>46262.0</v>
      </c>
      <c r="E86" s="18" t="str">
        <f>IF($B86="","",IFERROR(INDEX(Audit_Log!$C$6:$C$405,MATCH($B86,Audit_Log!$A$6:$A$405,0)),""))</f>
        <v>Packaging</v>
      </c>
      <c r="F86" s="17" t="str">
        <f>IF($B86="","",IFERROR(INDEX(Audit_Log!$D$6:$D$405,MATCH($B86,Audit_Log!$A$6:$A$405,0)),""))</f>
        <v>L1</v>
      </c>
      <c r="G86" s="30" t="str">
        <f>IF($C86="","",IFERROR(INDEX(Checklist!$D$6:$D$20,MATCH($C86,Checklist!$B$6:$B$20,0)),""))</f>
        <v>Does the operator perform the steps in the sequence defined in the work instruction?</v>
      </c>
      <c r="H86" s="29" t="s">
        <v>145</v>
      </c>
      <c r="I86" s="29" t="s">
        <v>155</v>
      </c>
      <c r="J86" s="29" t="s">
        <v>156</v>
      </c>
      <c r="K86" s="23" t="s">
        <v>38</v>
      </c>
      <c r="L86" s="24">
        <v>46269</v>
      </c>
      <c r="M86" s="28" t="s">
        <v>48</v>
      </c>
      <c r="N86" s="24">
        <v>46266</v>
      </c>
      <c r="O86" s="17">
        <f>IF(OR($B86="",$L86="",$M86="Closed"),"",MAX(0,Setup!$C$5-$L86))</f>
        <v/>
      </c>
      <c r="P86" s="17" t="str">
        <f>IF($B86="","",IF($M86="Closed","CLOSED",IF($L86="","NO DUE DATE",IF(Setup!$C$5&gt;$L86,"OVERDUE",IF($L86-Setup!$C$5&lt;=7,"DUE SOON","OPEN")))))</f>
        <v>CLOSED</v>
      </c>
      <c r="Q86" s="17">
        <f>IF($B86="","",IF($M86="Closed",0,1))</f>
        <v>0.0</v>
      </c>
    </row>
    <row r="87" spans="1:17">
      <c r="A87" s="17" t="str">
        <f>IF($B87="","","F-1082")</f>
        <v>F-1082</v>
      </c>
      <c r="B87" s="28" t="s">
        <v>220</v>
      </c>
      <c r="C87" s="28" t="s">
        <v>86</v>
      </c>
      <c r="D87" s="8">
        <f>IF($B87="","",IFERROR(INDEX(Audit_Log!$B$6:$B$405,MATCH($B87,Audit_Log!$A$6:$A$405,0)),""))</f>
        <v>46268.0</v>
      </c>
      <c r="E87" s="18" t="str">
        <f>IF($B87="","",IFERROR(INDEX(Audit_Log!$C$6:$C$405,MATCH($B87,Audit_Log!$A$6:$A$405,0)),""))</f>
        <v>Packaging</v>
      </c>
      <c r="F87" s="17" t="str">
        <f>IF($B87="","",IFERROR(INDEX(Audit_Log!$D$6:$D$405,MATCH($B87,Audit_Log!$A$6:$A$405,0)),""))</f>
        <v>L1</v>
      </c>
      <c r="G87" s="30" t="str">
        <f>IF($C87="","",IFERROR(INDEX(Checklist!$D$6:$D$20,MATCH($C87,Checklist!$B$6:$B$20,0)),""))</f>
        <v>Is every error-proofing device at this station active (not bypassed or disabled)?</v>
      </c>
      <c r="H87" s="29" t="s">
        <v>142</v>
      </c>
      <c r="I87" s="29" t="s">
        <v>143</v>
      </c>
      <c r="J87" s="29" t="s">
        <v>144</v>
      </c>
      <c r="K87" s="23" t="s">
        <v>38</v>
      </c>
      <c r="L87" s="24">
        <v>46275</v>
      </c>
      <c r="M87" s="28" t="s">
        <v>48</v>
      </c>
      <c r="N87" s="24">
        <v>46273</v>
      </c>
      <c r="O87" s="17">
        <f>IF(OR($B87="",$L87="",$M87="Closed"),"",MAX(0,Setup!$C$5-$L87))</f>
        <v/>
      </c>
      <c r="P87" s="17" t="str">
        <f>IF($B87="","",IF($M87="Closed","CLOSED",IF($L87="","NO DUE DATE",IF(Setup!$C$5&gt;$L87,"OVERDUE",IF($L87-Setup!$C$5&lt;=7,"DUE SOON","OPEN")))))</f>
        <v>CLOSED</v>
      </c>
      <c r="Q87" s="17">
        <f>IF($B87="","",IF($M87="Closed",0,1))</f>
        <v>0.0</v>
      </c>
    </row>
    <row r="88" spans="1:17">
      <c r="A88" s="17" t="str">
        <f>IF($B88="","","F-1083")</f>
        <v>F-1083</v>
      </c>
      <c r="B88" s="28" t="s">
        <v>221</v>
      </c>
      <c r="C88" s="28" t="s">
        <v>65</v>
      </c>
      <c r="D88" s="8">
        <f>IF($B88="","",IFERROR(INDEX(Audit_Log!$B$6:$B$405,MATCH($B88,Audit_Log!$A$6:$A$405,0)),""))</f>
        <v>46273.0</v>
      </c>
      <c r="E88" s="18" t="str">
        <f>IF($B88="","",IFERROR(INDEX(Audit_Log!$C$6:$C$405,MATCH($B88,Audit_Log!$A$6:$A$405,0)),""))</f>
        <v>Brazing Cell A</v>
      </c>
      <c r="F88" s="17" t="str">
        <f>IF($B88="","",IFERROR(INDEX(Audit_Log!$D$6:$D$405,MATCH($B88,Audit_Log!$A$6:$A$405,0)),""))</f>
        <v>L1</v>
      </c>
      <c r="G88" s="30" t="str">
        <f>IF($C88="","",IFERROR(INDEX(Checklist!$D$6:$D$20,MATCH($C88,Checklist!$B$6:$B$20,0)),""))</f>
        <v>Does the operator perform the steps in the sequence defined in the work instruction?</v>
      </c>
      <c r="H88" s="29" t="s">
        <v>142</v>
      </c>
      <c r="I88" s="29" t="s">
        <v>158</v>
      </c>
      <c r="J88" s="29" t="s">
        <v>159</v>
      </c>
      <c r="K88" s="23" t="s">
        <v>163</v>
      </c>
      <c r="L88" s="24">
        <v>46280</v>
      </c>
      <c r="M88" s="28" t="s">
        <v>48</v>
      </c>
      <c r="N88" s="24">
        <v>46280</v>
      </c>
      <c r="O88" s="17">
        <f>IF(OR($B88="",$L88="",$M88="Closed"),"",MAX(0,Setup!$C$5-$L88))</f>
        <v/>
      </c>
      <c r="P88" s="17" t="str">
        <f>IF($B88="","",IF($M88="Closed","CLOSED",IF($L88="","NO DUE DATE",IF(Setup!$C$5&gt;$L88,"OVERDUE",IF($L88-Setup!$C$5&lt;=7,"DUE SOON","OPEN")))))</f>
        <v>CLOSED</v>
      </c>
      <c r="Q88" s="17">
        <f>IF($B88="","",IF($M88="Closed",0,1))</f>
        <v>0.0</v>
      </c>
    </row>
    <row r="89" spans="1:17">
      <c r="A89" s="17" t="str">
        <f>IF($B89="","","F-1084")</f>
        <v>F-1084</v>
      </c>
      <c r="B89" s="28" t="s">
        <v>222</v>
      </c>
      <c r="C89" s="28" t="s">
        <v>65</v>
      </c>
      <c r="D89" s="8">
        <f>IF($B89="","",IFERROR(INDEX(Audit_Log!$B$6:$B$405,MATCH($B89,Audit_Log!$A$6:$A$405,0)),""))</f>
        <v>46273.0</v>
      </c>
      <c r="E89" s="18" t="str">
        <f>IF($B89="","",IFERROR(INDEX(Audit_Log!$C$6:$C$405,MATCH($B89,Audit_Log!$A$6:$A$405,0)),""))</f>
        <v>Brazing Cell A</v>
      </c>
      <c r="F89" s="17" t="str">
        <f>IF($B89="","",IFERROR(INDEX(Audit_Log!$D$6:$D$405,MATCH($B89,Audit_Log!$A$6:$A$405,0)),""))</f>
        <v>L3</v>
      </c>
      <c r="G89" s="30" t="str">
        <f>IF($C89="","",IFERROR(INDEX(Checklist!$D$6:$D$20,MATCH($C89,Checklist!$B$6:$B$20,0)),""))</f>
        <v>Does the operator perform the steps in the sequence defined in the work instruction?</v>
      </c>
      <c r="H89" s="29" t="s">
        <v>145</v>
      </c>
      <c r="I89" s="29" t="s">
        <v>158</v>
      </c>
      <c r="J89" s="29" t="s">
        <v>159</v>
      </c>
      <c r="K89" s="23" t="s">
        <v>163</v>
      </c>
      <c r="L89" s="24">
        <v>46280</v>
      </c>
      <c r="M89" s="28" t="s">
        <v>46</v>
      </c>
      <c r="N89" s="24"/>
      <c r="O89" s="17">
        <f>IF(OR($B89="",$L89="",$M89="Closed"),"",MAX(0,Setup!$C$5-$L89))</f>
        <v>35.0</v>
      </c>
      <c r="P89" s="17" t="str">
        <f>IF($B89="","",IF($M89="Closed","CLOSED",IF($L89="","NO DUE DATE",IF(Setup!$C$5&gt;$L89,"OVERDUE",IF($L89-Setup!$C$5&lt;=7,"DUE SOON","OPEN")))))</f>
        <v>OVERDUE</v>
      </c>
      <c r="Q89" s="17">
        <f>IF($B89="","",IF($M89="Closed",0,1))</f>
        <v>1.0</v>
      </c>
    </row>
    <row r="90" spans="1:17">
      <c r="A90" s="17" t="str">
        <f>IF($B90="","","F-1085")</f>
        <v>F-1085</v>
      </c>
      <c r="B90" s="28" t="s">
        <v>222</v>
      </c>
      <c r="C90" s="28" t="s">
        <v>108</v>
      </c>
      <c r="D90" s="8">
        <f>IF($B90="","",IFERROR(INDEX(Audit_Log!$B$6:$B$405,MATCH($B90,Audit_Log!$A$6:$A$405,0)),""))</f>
        <v>46273.0</v>
      </c>
      <c r="E90" s="18" t="str">
        <f>IF($B90="","",IFERROR(INDEX(Audit_Log!$C$6:$C$405,MATCH($B90,Audit_Log!$A$6:$A$405,0)),""))</f>
        <v>Brazing Cell A</v>
      </c>
      <c r="F90" s="17" t="str">
        <f>IF($B90="","",IFERROR(INDEX(Audit_Log!$D$6:$D$405,MATCH($B90,Audit_Log!$A$6:$A$405,0)),""))</f>
        <v>L3</v>
      </c>
      <c r="G90" s="30" t="str">
        <f>IF($C90="","",IFERROR(INDEX(Checklist!$D$6:$D$20,MATCH($C90,Checklist!$B$6:$B$20,0)),""))</f>
        <v>Is nonconforming product segregated immediately and tagged with reason, date and name?</v>
      </c>
      <c r="H90" s="29" t="s">
        <v>142</v>
      </c>
      <c r="I90" s="29"/>
      <c r="J90" s="29" t="s">
        <v>150</v>
      </c>
      <c r="K90" s="23" t="s">
        <v>163</v>
      </c>
      <c r="L90" s="24">
        <v>46280</v>
      </c>
      <c r="M90" s="28" t="s">
        <v>47</v>
      </c>
      <c r="N90" s="24"/>
      <c r="O90" s="17">
        <f>IF(OR($B90="",$L90="",$M90="Closed"),"",MAX(0,Setup!$C$5-$L90))</f>
        <v>35.0</v>
      </c>
      <c r="P90" s="17" t="str">
        <f>IF($B90="","",IF($M90="Closed","CLOSED",IF($L90="","NO DUE DATE",IF(Setup!$C$5&gt;$L90,"OVERDUE",IF($L90-Setup!$C$5&lt;=7,"DUE SOON","OPEN")))))</f>
        <v>OVERDUE</v>
      </c>
      <c r="Q90" s="17">
        <f>IF($B90="","",IF($M90="Closed",0,1))</f>
        <v>1.0</v>
      </c>
    </row>
    <row r="91" spans="1:17">
      <c r="A91" s="17" t="str">
        <f>IF($B91="","","F-1086")</f>
        <v>F-1086</v>
      </c>
      <c r="B91" s="28" t="s">
        <v>223</v>
      </c>
      <c r="C91" s="28" t="s">
        <v>83</v>
      </c>
      <c r="D91" s="8">
        <f>IF($B91="","",IFERROR(INDEX(Audit_Log!$B$6:$B$405,MATCH($B91,Audit_Log!$A$6:$A$405,0)),""))</f>
        <v>46275.0</v>
      </c>
      <c r="E91" s="18" t="str">
        <f>IF($B91="","",IFERROR(INDEX(Audit_Log!$C$6:$C$405,MATCH($B91,Audit_Log!$A$6:$A$405,0)),""))</f>
        <v>Brazing Cell A</v>
      </c>
      <c r="F91" s="17" t="str">
        <f>IF($B91="","",IFERROR(INDEX(Audit_Log!$D$6:$D$405,MATCH($B91,Audit_Log!$A$6:$A$405,0)),""))</f>
        <v>L1</v>
      </c>
      <c r="G91" s="30" t="str">
        <f>IF($C91="","",IFERROR(INDEX(Checklist!$D$6:$D$20,MATCH($C91,Checklist!$B$6:$B$20,0)),""))</f>
        <v>Are measuring and test devices at the station within their calibration date?</v>
      </c>
      <c r="H91" s="29" t="s">
        <v>142</v>
      </c>
      <c r="I91" s="29" t="s">
        <v>143</v>
      </c>
      <c r="J91" s="29" t="s">
        <v>144</v>
      </c>
      <c r="K91" s="23" t="s">
        <v>163</v>
      </c>
      <c r="L91" s="24">
        <v>46282</v>
      </c>
      <c r="M91" s="28" t="s">
        <v>46</v>
      </c>
      <c r="N91" s="24"/>
      <c r="O91" s="17">
        <f>IF(OR($B91="",$L91="",$M91="Closed"),"",MAX(0,Setup!$C$5-$L91))</f>
        <v>33.0</v>
      </c>
      <c r="P91" s="17" t="str">
        <f>IF($B91="","",IF($M91="Closed","CLOSED",IF($L91="","NO DUE DATE",IF(Setup!$C$5&gt;$L91,"OVERDUE",IF($L91-Setup!$C$5&lt;=7,"DUE SOON","OPEN")))))</f>
        <v>OVERDUE</v>
      </c>
      <c r="Q91" s="17">
        <f>IF($B91="","",IF($M91="Closed",0,1))</f>
        <v>1.0</v>
      </c>
    </row>
    <row r="92" spans="1:17">
      <c r="A92" s="17" t="str">
        <f>IF($B92="","","F-1087")</f>
        <v>F-1087</v>
      </c>
      <c r="B92" s="28" t="s">
        <v>224</v>
      </c>
      <c r="C92" s="28" t="s">
        <v>86</v>
      </c>
      <c r="D92" s="8">
        <f>IF($B92="","",IFERROR(INDEX(Audit_Log!$B$6:$B$405,MATCH($B92,Audit_Log!$A$6:$A$405,0)),""))</f>
        <v>46276.0</v>
      </c>
      <c r="E92" s="18" t="str">
        <f>IF($B92="","",IFERROR(INDEX(Audit_Log!$C$6:$C$405,MATCH($B92,Audit_Log!$A$6:$A$405,0)),""))</f>
        <v>Packaging</v>
      </c>
      <c r="F92" s="17" t="str">
        <f>IF($B92="","",IFERROR(INDEX(Audit_Log!$D$6:$D$405,MATCH($B92,Audit_Log!$A$6:$A$405,0)),""))</f>
        <v>L2</v>
      </c>
      <c r="G92" s="30" t="str">
        <f>IF($C92="","",IFERROR(INDEX(Checklist!$D$6:$D$20,MATCH($C92,Checklist!$B$6:$B$20,0)),""))</f>
        <v>Is every error-proofing device at this station active (not bypassed or disabled)?</v>
      </c>
      <c r="H92" s="29" t="s">
        <v>145</v>
      </c>
      <c r="I92" s="29" t="s">
        <v>146</v>
      </c>
      <c r="J92" s="29" t="s">
        <v>147</v>
      </c>
      <c r="K92" s="23" t="s">
        <v>38</v>
      </c>
      <c r="L92" s="24">
        <v>46283</v>
      </c>
      <c r="M92" s="28" t="s">
        <v>47</v>
      </c>
      <c r="N92" s="24"/>
      <c r="O92" s="17">
        <f>IF(OR($B92="",$L92="",$M92="Closed"),"",MAX(0,Setup!$C$5-$L92))</f>
        <v>32.0</v>
      </c>
      <c r="P92" s="17" t="str">
        <f>IF($B92="","",IF($M92="Closed","CLOSED",IF($L92="","NO DUE DATE",IF(Setup!$C$5&gt;$L92,"OVERDUE",IF($L92-Setup!$C$5&lt;=7,"DUE SOON","OPEN")))))</f>
        <v>OVERDUE</v>
      </c>
      <c r="Q92" s="17">
        <f>IF($B92="","",IF($M92="Closed",0,1))</f>
        <v>1.0</v>
      </c>
    </row>
    <row r="93" spans="1:17">
      <c r="A93" s="17" t="str">
        <f>IF($B93="","","F-1088")</f>
        <v>F-1088</v>
      </c>
      <c r="B93" s="28" t="s">
        <v>225</v>
      </c>
      <c r="C93" s="28" t="s">
        <v>68</v>
      </c>
      <c r="D93" s="8">
        <f>IF($B93="","",IFERROR(INDEX(Audit_Log!$B$6:$B$405,MATCH($B93,Audit_Log!$A$6:$A$405,0)),""))</f>
        <v>46280.0</v>
      </c>
      <c r="E93" s="18" t="str">
        <f>IF($B93="","",IFERROR(INDEX(Audit_Log!$C$6:$C$405,MATCH($B93,Audit_Log!$A$6:$A$405,0)),""))</f>
        <v>Paint Shop</v>
      </c>
      <c r="F93" s="17" t="str">
        <f>IF($B93="","",IFERROR(INDEX(Audit_Log!$D$6:$D$405,MATCH($B93,Audit_Log!$A$6:$A$405,0)),""))</f>
        <v>L1</v>
      </c>
      <c r="G93" s="30" t="str">
        <f>IF($C93="","",IFERROR(INDEX(Checklist!$D$6:$D$20,MATCH($C93,Checklist!$B$6:$B$20,0)),""))</f>
        <v>Is the reaction plan visible, and does the operator know what to do with a nonconforming part?</v>
      </c>
      <c r="H93" s="29" t="s">
        <v>142</v>
      </c>
      <c r="I93" s="29"/>
      <c r="J93" s="29" t="s">
        <v>150</v>
      </c>
      <c r="K93" s="23" t="s">
        <v>37</v>
      </c>
      <c r="L93" s="24">
        <v>46280</v>
      </c>
      <c r="M93" s="28" t="s">
        <v>48</v>
      </c>
      <c r="N93" s="24">
        <v>46280</v>
      </c>
      <c r="O93" s="17">
        <f>IF(OR($B93="",$L93="",$M93="Closed"),"",MAX(0,Setup!$C$5-$L93))</f>
        <v/>
      </c>
      <c r="P93" s="17" t="str">
        <f>IF($B93="","",IF($M93="Closed","CLOSED",IF($L93="","NO DUE DATE",IF(Setup!$C$5&gt;$L93,"OVERDUE",IF($L93-Setup!$C$5&lt;=7,"DUE SOON","OPEN")))))</f>
        <v>CLOSED</v>
      </c>
      <c r="Q93" s="17">
        <f>IF($B93="","",IF($M93="Closed",0,1))</f>
        <v>0.0</v>
      </c>
    </row>
    <row r="94" spans="1:17">
      <c r="A94" s="17" t="str">
        <f>IF($B94="","","F-1089")</f>
        <v>F-1089</v>
      </c>
      <c r="B94" s="28" t="s">
        <v>226</v>
      </c>
      <c r="C94" s="28" t="s">
        <v>90</v>
      </c>
      <c r="D94" s="8">
        <f>IF($B94="","",IFERROR(INDEX(Audit_Log!$B$6:$B$405,MATCH($B94,Audit_Log!$A$6:$A$405,0)),""))</f>
        <v>46282.0</v>
      </c>
      <c r="E94" s="18" t="str">
        <f>IF($B94="","",IFERROR(INDEX(Audit_Log!$C$6:$C$405,MATCH($B94,Audit_Log!$A$6:$A$405,0)),""))</f>
        <v>Assembly Line 1</v>
      </c>
      <c r="F94" s="17" t="str">
        <f>IF($B94="","",IFERROR(INDEX(Audit_Log!$D$6:$D$405,MATCH($B94,Audit_Log!$A$6:$A$405,0)),""))</f>
        <v>L2</v>
      </c>
      <c r="G94" s="30" t="str">
        <f>IF($C94="","",IFERROR(INDEX(Checklist!$D$6:$D$20,MATCH($C94,Checklist!$B$6:$B$20,0)),""))</f>
        <v>Is the missing-part or wrong-part detection working?</v>
      </c>
      <c r="H94" s="29" t="s">
        <v>142</v>
      </c>
      <c r="I94" s="29" t="s">
        <v>143</v>
      </c>
      <c r="J94" s="29" t="s">
        <v>144</v>
      </c>
      <c r="K94" s="23" t="s">
        <v>35</v>
      </c>
      <c r="L94" s="24">
        <v>46289</v>
      </c>
      <c r="M94" s="28" t="s">
        <v>47</v>
      </c>
      <c r="N94" s="24"/>
      <c r="O94" s="17">
        <f>IF(OR($B94="",$L94="",$M94="Closed"),"",MAX(0,Setup!$C$5-$L94))</f>
        <v>26.0</v>
      </c>
      <c r="P94" s="17" t="str">
        <f>IF($B94="","",IF($M94="Closed","CLOSED",IF($L94="","NO DUE DATE",IF(Setup!$C$5&gt;$L94,"OVERDUE",IF($L94-Setup!$C$5&lt;=7,"DUE SOON","OPEN")))))</f>
        <v>OVERDUE</v>
      </c>
      <c r="Q94" s="17">
        <f>IF($B94="","",IF($M94="Closed",0,1))</f>
        <v>1.0</v>
      </c>
    </row>
    <row r="95" spans="1:17">
      <c r="A95" s="17" t="str">
        <f>IF($B95="","","F-1090")</f>
        <v>F-1090</v>
      </c>
      <c r="B95" s="28" t="s">
        <v>227</v>
      </c>
      <c r="C95" s="28" t="s">
        <v>101</v>
      </c>
      <c r="D95" s="8">
        <f>IF($B95="","",IFERROR(INDEX(Audit_Log!$B$6:$B$405,MATCH($B95,Audit_Log!$A$6:$A$405,0)),""))</f>
        <v>46287.0</v>
      </c>
      <c r="E95" s="18" t="str">
        <f>IF($B95="","",IFERROR(INDEX(Audit_Log!$C$6:$C$405,MATCH($B95,Audit_Log!$A$6:$A$405,0)),""))</f>
        <v>Press Line 1</v>
      </c>
      <c r="F95" s="17" t="str">
        <f>IF($B95="","",IFERROR(INDEX(Audit_Log!$D$6:$D$405,MATCH($B95,Audit_Log!$A$6:$A$405,0)),""))</f>
        <v>L1</v>
      </c>
      <c r="G95" s="30" t="str">
        <f>IF($C95="","",IFERROR(INDEX(Checklist!$D$6:$D$20,MATCH($C95,Checklist!$B$6:$B$20,0)),""))</f>
        <v>Is the preventive-maintenance record complete for the last period?</v>
      </c>
      <c r="H95" s="29" t="s">
        <v>149</v>
      </c>
      <c r="I95" s="29"/>
      <c r="J95" s="29" t="s">
        <v>150</v>
      </c>
      <c r="K95" s="23" t="s">
        <v>36</v>
      </c>
      <c r="L95" s="24">
        <v>46294</v>
      </c>
      <c r="M95" s="28" t="s">
        <v>47</v>
      </c>
      <c r="N95" s="24"/>
      <c r="O95" s="17">
        <f>IF(OR($B95="",$L95="",$M95="Closed"),"",MAX(0,Setup!$C$5-$L95))</f>
        <v>21.0</v>
      </c>
      <c r="P95" s="17" t="str">
        <f>IF($B95="","",IF($M95="Closed","CLOSED",IF($L95="","NO DUE DATE",IF(Setup!$C$5&gt;$L95,"OVERDUE",IF($L95-Setup!$C$5&lt;=7,"DUE SOON","OPEN")))))</f>
        <v>OVERDUE</v>
      </c>
      <c r="Q95" s="17">
        <f>IF($B95="","",IF($M95="Closed",0,1))</f>
        <v>1.0</v>
      </c>
    </row>
    <row r="96" spans="1:17">
      <c r="A96" s="17" t="str">
        <f>IF($B96="","","F-1091")</f>
        <v>F-1091</v>
      </c>
      <c r="B96" s="28" t="s">
        <v>228</v>
      </c>
      <c r="C96" s="28" t="s">
        <v>61</v>
      </c>
      <c r="D96" s="8">
        <f>IF($B96="","",IFERROR(INDEX(Audit_Log!$B$6:$B$405,MATCH($B96,Audit_Log!$A$6:$A$405,0)),""))</f>
        <v>46294.0</v>
      </c>
      <c r="E96" s="18" t="str">
        <f>IF($B96="","",IFERROR(INDEX(Audit_Log!$C$6:$C$405,MATCH($B96,Audit_Log!$A$6:$A$405,0)),""))</f>
        <v>Press Line 1</v>
      </c>
      <c r="F96" s="17" t="str">
        <f>IF($B96="","",IFERROR(INDEX(Audit_Log!$D$6:$D$405,MATCH($B96,Audit_Log!$A$6:$A$405,0)),""))</f>
        <v>L1</v>
      </c>
      <c r="G96" s="30" t="str">
        <f>IF($C96="","",IFERROR(INDEX(Checklist!$D$6:$D$20,MATCH($C96,Checklist!$B$6:$B$20,0)),""))</f>
        <v>Is the current revision of the work instruction posted at the station?</v>
      </c>
      <c r="H96" s="29" t="s">
        <v>142</v>
      </c>
      <c r="I96" s="29" t="s">
        <v>152</v>
      </c>
      <c r="J96" s="29" t="s">
        <v>153</v>
      </c>
      <c r="K96" s="23" t="s">
        <v>36</v>
      </c>
      <c r="L96" s="24">
        <v>46294</v>
      </c>
      <c r="M96" s="28" t="s">
        <v>47</v>
      </c>
      <c r="N96" s="24"/>
      <c r="O96" s="17">
        <f>IF(OR($B96="",$L96="",$M96="Closed"),"",MAX(0,Setup!$C$5-$L96))</f>
        <v>21.0</v>
      </c>
      <c r="P96" s="17" t="str">
        <f>IF($B96="","",IF($M96="Closed","CLOSED",IF($L96="","NO DUE DATE",IF(Setup!$C$5&gt;$L96,"OVERDUE",IF($L96-Setup!$C$5&lt;=7,"DUE SOON","OPEN")))))</f>
        <v>OVERDUE</v>
      </c>
      <c r="Q96" s="17">
        <f>IF($B96="","",IF($M96="Closed",0,1))</f>
        <v>1.0</v>
      </c>
    </row>
    <row r="97" spans="1:17">
      <c r="A97" s="17" t="str">
        <f>IF($B97="","","F-1092")</f>
        <v>F-1092</v>
      </c>
      <c r="B97" s="28" t="s">
        <v>229</v>
      </c>
      <c r="C97" s="28" t="s">
        <v>108</v>
      </c>
      <c r="D97" s="8">
        <f>IF($B97="","",IFERROR(INDEX(Audit_Log!$B$6:$B$405,MATCH($B97,Audit_Log!$A$6:$A$405,0)),""))</f>
        <v>46301.0</v>
      </c>
      <c r="E97" s="18" t="str">
        <f>IF($B97="","",IFERROR(INDEX(Audit_Log!$C$6:$C$405,MATCH($B97,Audit_Log!$A$6:$A$405,0)),""))</f>
        <v>Assembly Line 1</v>
      </c>
      <c r="F97" s="17" t="str">
        <f>IF($B97="","",IFERROR(INDEX(Audit_Log!$D$6:$D$405,MATCH($B97,Audit_Log!$A$6:$A$405,0)),""))</f>
        <v>L2</v>
      </c>
      <c r="G97" s="30" t="str">
        <f>IF($C97="","",IFERROR(INDEX(Checklist!$D$6:$D$20,MATCH($C97,Checklist!$B$6:$B$20,0)),""))</f>
        <v>Is nonconforming product segregated immediately and tagged with reason, date and name?</v>
      </c>
      <c r="H97" s="29" t="s">
        <v>145</v>
      </c>
      <c r="I97" s="29" t="s">
        <v>152</v>
      </c>
      <c r="J97" s="29" t="s">
        <v>153</v>
      </c>
      <c r="K97" s="23" t="s">
        <v>35</v>
      </c>
      <c r="L97" s="24">
        <v>46315</v>
      </c>
      <c r="M97" s="28" t="s">
        <v>47</v>
      </c>
      <c r="N97" s="24"/>
      <c r="O97" s="17">
        <f>IF(OR($B97="",$L97="",$M97="Closed"),"",MAX(0,Setup!$C$5-$L97))</f>
        <v>0.0</v>
      </c>
      <c r="P97" s="17" t="str">
        <f>IF($B97="","",IF($M97="Closed","CLOSED",IF($L97="","NO DUE DATE",IF(Setup!$C$5&gt;$L97,"OVERDUE",IF($L97-Setup!$C$5&lt;=7,"DUE SOON","OPEN")))))</f>
        <v>DUE SOON</v>
      </c>
      <c r="Q97" s="17">
        <f>IF($B97="","",IF($M97="Closed",0,1))</f>
        <v>1.0</v>
      </c>
    </row>
    <row r="98" spans="1:17">
      <c r="A98" s="17" t="str">
        <f>IF($B98="","","F-1093")</f>
        <v>F-1093</v>
      </c>
      <c r="B98" s="28" t="s">
        <v>230</v>
      </c>
      <c r="C98" s="28" t="s">
        <v>97</v>
      </c>
      <c r="D98" s="8">
        <f>IF($B98="","",IFERROR(INDEX(Audit_Log!$B$6:$B$405,MATCH($B98,Audit_Log!$A$6:$A$405,0)),""))</f>
        <v>46311.0</v>
      </c>
      <c r="E98" s="18" t="str">
        <f>IF($B98="","",IFERROR(INDEX(Audit_Log!$C$6:$C$405,MATCH($B98,Audit_Log!$A$6:$A$405,0)),""))</f>
        <v>Paint Shop</v>
      </c>
      <c r="F98" s="17" t="str">
        <f>IF($B98="","",IFERROR(INDEX(Audit_Log!$D$6:$D$405,MATCH($B98,Audit_Log!$A$6:$A$405,0)),""))</f>
        <v>L1</v>
      </c>
      <c r="G98" s="30" t="str">
        <f>IF($C98="","",IFERROR(INDEX(Checklist!$D$6:$D$20,MATCH($C98,Checklist!$B$6:$B$20,0)),""))</f>
        <v>Are tool wear and counters within the maintenance limit?</v>
      </c>
      <c r="H98" s="29" t="s">
        <v>142</v>
      </c>
      <c r="I98" s="29" t="s">
        <v>152</v>
      </c>
      <c r="J98" s="29" t="s">
        <v>153</v>
      </c>
      <c r="K98" s="23" t="s">
        <v>37</v>
      </c>
      <c r="L98" s="24">
        <v>46311</v>
      </c>
      <c r="M98" s="28" t="s">
        <v>46</v>
      </c>
      <c r="N98" s="24"/>
      <c r="O98" s="17">
        <f>IF(OR($B98="",$L98="",$M98="Closed"),"",MAX(0,Setup!$C$5-$L98))</f>
        <v>4.0</v>
      </c>
      <c r="P98" s="17" t="str">
        <f>IF($B98="","",IF($M98="Closed","CLOSED",IF($L98="","NO DUE DATE",IF(Setup!$C$5&gt;$L98,"OVERDUE",IF($L98-Setup!$C$5&lt;=7,"DUE SOON","OPEN")))))</f>
        <v>OVERDUE</v>
      </c>
      <c r="Q98" s="17">
        <f>IF($B98="","",IF($M98="Closed",0,1))</f>
        <v>1.0</v>
      </c>
    </row>
    <row r="99" spans="1:17">
      <c r="A99" s="17">
        <f>IF($B99="","","F-1094")</f>
        <v/>
      </c>
      <c r="B99" s="28"/>
      <c r="C99" s="28"/>
      <c r="D99" s="8">
        <f>IF($B99="","",IFERROR(INDEX(Audit_Log!$B$6:$B$405,MATCH($B99,Audit_Log!$A$6:$A$405,0)),""))</f>
        <v/>
      </c>
      <c r="E99" s="18">
        <f>IF($B99="","",IFERROR(INDEX(Audit_Log!$C$6:$C$405,MATCH($B99,Audit_Log!$A$6:$A$405,0)),""))</f>
        <v/>
      </c>
      <c r="F99" s="17">
        <f>IF($B99="","",IFERROR(INDEX(Audit_Log!$D$6:$D$405,MATCH($B99,Audit_Log!$A$6:$A$405,0)),""))</f>
        <v/>
      </c>
      <c r="G99" s="30">
        <f>IF($C99="","",IFERROR(INDEX(Checklist!$D$6:$D$20,MATCH($C99,Checklist!$B$6:$B$20,0)),""))</f>
        <v/>
      </c>
      <c r="H99" s="29"/>
      <c r="I99" s="29"/>
      <c r="J99" s="29"/>
      <c r="K99" s="23"/>
      <c r="L99" s="24"/>
      <c r="M99" s="28"/>
      <c r="N99" s="24"/>
      <c r="O99" s="17">
        <f>IF(OR($B99="",$L99="",$M99="Closed"),"",MAX(0,Setup!$C$5-$L99))</f>
        <v/>
      </c>
      <c r="P99" s="17">
        <f>IF($B99="","",IF($M99="Closed","CLOSED",IF($L99="","NO DUE DATE",IF(Setup!$C$5&gt;$L99,"OVERDUE",IF($L99-Setup!$C$5&lt;=7,"DUE SOON","OPEN")))))</f>
        <v/>
      </c>
      <c r="Q99" s="17">
        <f>IF($B99="","",IF($M99="Closed",0,1))</f>
        <v/>
      </c>
    </row>
    <row r="100" spans="1:17">
      <c r="A100" s="17">
        <f>IF($B100="","","F-1095")</f>
        <v/>
      </c>
      <c r="B100" s="28"/>
      <c r="C100" s="28"/>
      <c r="D100" s="8">
        <f>IF($B100="","",IFERROR(INDEX(Audit_Log!$B$6:$B$405,MATCH($B100,Audit_Log!$A$6:$A$405,0)),""))</f>
        <v/>
      </c>
      <c r="E100" s="18">
        <f>IF($B100="","",IFERROR(INDEX(Audit_Log!$C$6:$C$405,MATCH($B100,Audit_Log!$A$6:$A$405,0)),""))</f>
        <v/>
      </c>
      <c r="F100" s="17">
        <f>IF($B100="","",IFERROR(INDEX(Audit_Log!$D$6:$D$405,MATCH($B100,Audit_Log!$A$6:$A$405,0)),""))</f>
        <v/>
      </c>
      <c r="G100" s="30">
        <f>IF($C100="","",IFERROR(INDEX(Checklist!$D$6:$D$20,MATCH($C100,Checklist!$B$6:$B$20,0)),""))</f>
        <v/>
      </c>
      <c r="H100" s="29"/>
      <c r="I100" s="29"/>
      <c r="J100" s="29"/>
      <c r="K100" s="23"/>
      <c r="L100" s="24"/>
      <c r="M100" s="28"/>
      <c r="N100" s="24"/>
      <c r="O100" s="17">
        <f>IF(OR($B100="",$L100="",$M100="Closed"),"",MAX(0,Setup!$C$5-$L100))</f>
        <v/>
      </c>
      <c r="P100" s="17">
        <f>IF($B100="","",IF($M100="Closed","CLOSED",IF($L100="","NO DUE DATE",IF(Setup!$C$5&gt;$L100,"OVERDUE",IF($L100-Setup!$C$5&lt;=7,"DUE SOON","OPEN")))))</f>
        <v/>
      </c>
      <c r="Q100" s="17">
        <f>IF($B100="","",IF($M100="Closed",0,1))</f>
        <v/>
      </c>
    </row>
    <row r="101" spans="1:17">
      <c r="A101" s="17">
        <f>IF($B101="","","F-1096")</f>
        <v/>
      </c>
      <c r="B101" s="28"/>
      <c r="C101" s="28"/>
      <c r="D101" s="8">
        <f>IF($B101="","",IFERROR(INDEX(Audit_Log!$B$6:$B$405,MATCH($B101,Audit_Log!$A$6:$A$405,0)),""))</f>
        <v/>
      </c>
      <c r="E101" s="18">
        <f>IF($B101="","",IFERROR(INDEX(Audit_Log!$C$6:$C$405,MATCH($B101,Audit_Log!$A$6:$A$405,0)),""))</f>
        <v/>
      </c>
      <c r="F101" s="17">
        <f>IF($B101="","",IFERROR(INDEX(Audit_Log!$D$6:$D$405,MATCH($B101,Audit_Log!$A$6:$A$405,0)),""))</f>
        <v/>
      </c>
      <c r="G101" s="30">
        <f>IF($C101="","",IFERROR(INDEX(Checklist!$D$6:$D$20,MATCH($C101,Checklist!$B$6:$B$20,0)),""))</f>
        <v/>
      </c>
      <c r="H101" s="29"/>
      <c r="I101" s="29"/>
      <c r="J101" s="29"/>
      <c r="K101" s="23"/>
      <c r="L101" s="24"/>
      <c r="M101" s="28"/>
      <c r="N101" s="24"/>
      <c r="O101" s="17">
        <f>IF(OR($B101="",$L101="",$M101="Closed"),"",MAX(0,Setup!$C$5-$L101))</f>
        <v/>
      </c>
      <c r="P101" s="17">
        <f>IF($B101="","",IF($M101="Closed","CLOSED",IF($L101="","NO DUE DATE",IF(Setup!$C$5&gt;$L101,"OVERDUE",IF($L101-Setup!$C$5&lt;=7,"DUE SOON","OPEN")))))</f>
        <v/>
      </c>
      <c r="Q101" s="17">
        <f>IF($B101="","",IF($M101="Closed",0,1))</f>
        <v/>
      </c>
    </row>
    <row r="102" spans="1:17">
      <c r="A102" s="17">
        <f>IF($B102="","","F-1097")</f>
        <v/>
      </c>
      <c r="B102" s="28"/>
      <c r="C102" s="28"/>
      <c r="D102" s="8">
        <f>IF($B102="","",IFERROR(INDEX(Audit_Log!$B$6:$B$405,MATCH($B102,Audit_Log!$A$6:$A$405,0)),""))</f>
        <v/>
      </c>
      <c r="E102" s="18">
        <f>IF($B102="","",IFERROR(INDEX(Audit_Log!$C$6:$C$405,MATCH($B102,Audit_Log!$A$6:$A$405,0)),""))</f>
        <v/>
      </c>
      <c r="F102" s="17">
        <f>IF($B102="","",IFERROR(INDEX(Audit_Log!$D$6:$D$405,MATCH($B102,Audit_Log!$A$6:$A$405,0)),""))</f>
        <v/>
      </c>
      <c r="G102" s="30">
        <f>IF($C102="","",IFERROR(INDEX(Checklist!$D$6:$D$20,MATCH($C102,Checklist!$B$6:$B$20,0)),""))</f>
        <v/>
      </c>
      <c r="H102" s="29"/>
      <c r="I102" s="29"/>
      <c r="J102" s="29"/>
      <c r="K102" s="23"/>
      <c r="L102" s="24"/>
      <c r="M102" s="28"/>
      <c r="N102" s="24"/>
      <c r="O102" s="17">
        <f>IF(OR($B102="",$L102="",$M102="Closed"),"",MAX(0,Setup!$C$5-$L102))</f>
        <v/>
      </c>
      <c r="P102" s="17">
        <f>IF($B102="","",IF($M102="Closed","CLOSED",IF($L102="","NO DUE DATE",IF(Setup!$C$5&gt;$L102,"OVERDUE",IF($L102-Setup!$C$5&lt;=7,"DUE SOON","OPEN")))))</f>
        <v/>
      </c>
      <c r="Q102" s="17">
        <f>IF($B102="","",IF($M102="Closed",0,1))</f>
        <v/>
      </c>
    </row>
    <row r="103" spans="1:17">
      <c r="A103" s="17">
        <f>IF($B103="","","F-1098")</f>
        <v/>
      </c>
      <c r="B103" s="28"/>
      <c r="C103" s="28"/>
      <c r="D103" s="8">
        <f>IF($B103="","",IFERROR(INDEX(Audit_Log!$B$6:$B$405,MATCH($B103,Audit_Log!$A$6:$A$405,0)),""))</f>
        <v/>
      </c>
      <c r="E103" s="18">
        <f>IF($B103="","",IFERROR(INDEX(Audit_Log!$C$6:$C$405,MATCH($B103,Audit_Log!$A$6:$A$405,0)),""))</f>
        <v/>
      </c>
      <c r="F103" s="17">
        <f>IF($B103="","",IFERROR(INDEX(Audit_Log!$D$6:$D$405,MATCH($B103,Audit_Log!$A$6:$A$405,0)),""))</f>
        <v/>
      </c>
      <c r="G103" s="30">
        <f>IF($C103="","",IFERROR(INDEX(Checklist!$D$6:$D$20,MATCH($C103,Checklist!$B$6:$B$20,0)),""))</f>
        <v/>
      </c>
      <c r="H103" s="29"/>
      <c r="I103" s="29"/>
      <c r="J103" s="29"/>
      <c r="K103" s="23"/>
      <c r="L103" s="24"/>
      <c r="M103" s="28"/>
      <c r="N103" s="24"/>
      <c r="O103" s="17">
        <f>IF(OR($B103="",$L103="",$M103="Closed"),"",MAX(0,Setup!$C$5-$L103))</f>
        <v/>
      </c>
      <c r="P103" s="17">
        <f>IF($B103="","",IF($M103="Closed","CLOSED",IF($L103="","NO DUE DATE",IF(Setup!$C$5&gt;$L103,"OVERDUE",IF($L103-Setup!$C$5&lt;=7,"DUE SOON","OPEN")))))</f>
        <v/>
      </c>
      <c r="Q103" s="17">
        <f>IF($B103="","",IF($M103="Closed",0,1))</f>
        <v/>
      </c>
    </row>
    <row r="104" spans="1:17">
      <c r="A104" s="17">
        <f>IF($B104="","","F-1099")</f>
        <v/>
      </c>
      <c r="B104" s="28"/>
      <c r="C104" s="28"/>
      <c r="D104" s="8">
        <f>IF($B104="","",IFERROR(INDEX(Audit_Log!$B$6:$B$405,MATCH($B104,Audit_Log!$A$6:$A$405,0)),""))</f>
        <v/>
      </c>
      <c r="E104" s="18">
        <f>IF($B104="","",IFERROR(INDEX(Audit_Log!$C$6:$C$405,MATCH($B104,Audit_Log!$A$6:$A$405,0)),""))</f>
        <v/>
      </c>
      <c r="F104" s="17">
        <f>IF($B104="","",IFERROR(INDEX(Audit_Log!$D$6:$D$405,MATCH($B104,Audit_Log!$A$6:$A$405,0)),""))</f>
        <v/>
      </c>
      <c r="G104" s="30">
        <f>IF($C104="","",IFERROR(INDEX(Checklist!$D$6:$D$20,MATCH($C104,Checklist!$B$6:$B$20,0)),""))</f>
        <v/>
      </c>
      <c r="H104" s="29"/>
      <c r="I104" s="29"/>
      <c r="J104" s="29"/>
      <c r="K104" s="23"/>
      <c r="L104" s="24"/>
      <c r="M104" s="28"/>
      <c r="N104" s="24"/>
      <c r="O104" s="17">
        <f>IF(OR($B104="",$L104="",$M104="Closed"),"",MAX(0,Setup!$C$5-$L104))</f>
        <v/>
      </c>
      <c r="P104" s="17">
        <f>IF($B104="","",IF($M104="Closed","CLOSED",IF($L104="","NO DUE DATE",IF(Setup!$C$5&gt;$L104,"OVERDUE",IF($L104-Setup!$C$5&lt;=7,"DUE SOON","OPEN")))))</f>
        <v/>
      </c>
      <c r="Q104" s="17">
        <f>IF($B104="","",IF($M104="Closed",0,1))</f>
        <v/>
      </c>
    </row>
    <row r="105" spans="1:17">
      <c r="A105" s="17">
        <f>IF($B105="","","F-1100")</f>
        <v/>
      </c>
      <c r="B105" s="28"/>
      <c r="C105" s="28"/>
      <c r="D105" s="8">
        <f>IF($B105="","",IFERROR(INDEX(Audit_Log!$B$6:$B$405,MATCH($B105,Audit_Log!$A$6:$A$405,0)),""))</f>
        <v/>
      </c>
      <c r="E105" s="18">
        <f>IF($B105="","",IFERROR(INDEX(Audit_Log!$C$6:$C$405,MATCH($B105,Audit_Log!$A$6:$A$405,0)),""))</f>
        <v/>
      </c>
      <c r="F105" s="17">
        <f>IF($B105="","",IFERROR(INDEX(Audit_Log!$D$6:$D$405,MATCH($B105,Audit_Log!$A$6:$A$405,0)),""))</f>
        <v/>
      </c>
      <c r="G105" s="30">
        <f>IF($C105="","",IFERROR(INDEX(Checklist!$D$6:$D$20,MATCH($C105,Checklist!$B$6:$B$20,0)),""))</f>
        <v/>
      </c>
      <c r="H105" s="29"/>
      <c r="I105" s="29"/>
      <c r="J105" s="29"/>
      <c r="K105" s="23"/>
      <c r="L105" s="24"/>
      <c r="M105" s="28"/>
      <c r="N105" s="24"/>
      <c r="O105" s="17">
        <f>IF(OR($B105="",$L105="",$M105="Closed"),"",MAX(0,Setup!$C$5-$L105))</f>
        <v/>
      </c>
      <c r="P105" s="17">
        <f>IF($B105="","",IF($M105="Closed","CLOSED",IF($L105="","NO DUE DATE",IF(Setup!$C$5&gt;$L105,"OVERDUE",IF($L105-Setup!$C$5&lt;=7,"DUE SOON","OPEN")))))</f>
        <v/>
      </c>
      <c r="Q105" s="17">
        <f>IF($B105="","",IF($M105="Closed",0,1))</f>
        <v/>
      </c>
    </row>
    <row r="106" spans="1:17">
      <c r="A106" s="17">
        <f>IF($B106="","","F-1101")</f>
        <v/>
      </c>
      <c r="B106" s="28"/>
      <c r="C106" s="28"/>
      <c r="D106" s="8">
        <f>IF($B106="","",IFERROR(INDEX(Audit_Log!$B$6:$B$405,MATCH($B106,Audit_Log!$A$6:$A$405,0)),""))</f>
        <v/>
      </c>
      <c r="E106" s="18">
        <f>IF($B106="","",IFERROR(INDEX(Audit_Log!$C$6:$C$405,MATCH($B106,Audit_Log!$A$6:$A$405,0)),""))</f>
        <v/>
      </c>
      <c r="F106" s="17">
        <f>IF($B106="","",IFERROR(INDEX(Audit_Log!$D$6:$D$405,MATCH($B106,Audit_Log!$A$6:$A$405,0)),""))</f>
        <v/>
      </c>
      <c r="G106" s="30">
        <f>IF($C106="","",IFERROR(INDEX(Checklist!$D$6:$D$20,MATCH($C106,Checklist!$B$6:$B$20,0)),""))</f>
        <v/>
      </c>
      <c r="H106" s="29"/>
      <c r="I106" s="29"/>
      <c r="J106" s="29"/>
      <c r="K106" s="23"/>
      <c r="L106" s="24"/>
      <c r="M106" s="28"/>
      <c r="N106" s="24"/>
      <c r="O106" s="17">
        <f>IF(OR($B106="",$L106="",$M106="Closed"),"",MAX(0,Setup!$C$5-$L106))</f>
        <v/>
      </c>
      <c r="P106" s="17">
        <f>IF($B106="","",IF($M106="Closed","CLOSED",IF($L106="","NO DUE DATE",IF(Setup!$C$5&gt;$L106,"OVERDUE",IF($L106-Setup!$C$5&lt;=7,"DUE SOON","OPEN")))))</f>
        <v/>
      </c>
      <c r="Q106" s="17">
        <f>IF($B106="","",IF($M106="Closed",0,1))</f>
        <v/>
      </c>
    </row>
    <row r="107" spans="1:17">
      <c r="A107" s="17">
        <f>IF($B107="","","F-1102")</f>
        <v/>
      </c>
      <c r="B107" s="28"/>
      <c r="C107" s="28"/>
      <c r="D107" s="8">
        <f>IF($B107="","",IFERROR(INDEX(Audit_Log!$B$6:$B$405,MATCH($B107,Audit_Log!$A$6:$A$405,0)),""))</f>
        <v/>
      </c>
      <c r="E107" s="18">
        <f>IF($B107="","",IFERROR(INDEX(Audit_Log!$C$6:$C$405,MATCH($B107,Audit_Log!$A$6:$A$405,0)),""))</f>
        <v/>
      </c>
      <c r="F107" s="17">
        <f>IF($B107="","",IFERROR(INDEX(Audit_Log!$D$6:$D$405,MATCH($B107,Audit_Log!$A$6:$A$405,0)),""))</f>
        <v/>
      </c>
      <c r="G107" s="30">
        <f>IF($C107="","",IFERROR(INDEX(Checklist!$D$6:$D$20,MATCH($C107,Checklist!$B$6:$B$20,0)),""))</f>
        <v/>
      </c>
      <c r="H107" s="29"/>
      <c r="I107" s="29"/>
      <c r="J107" s="29"/>
      <c r="K107" s="23"/>
      <c r="L107" s="24"/>
      <c r="M107" s="28"/>
      <c r="N107" s="24"/>
      <c r="O107" s="17">
        <f>IF(OR($B107="",$L107="",$M107="Closed"),"",MAX(0,Setup!$C$5-$L107))</f>
        <v/>
      </c>
      <c r="P107" s="17">
        <f>IF($B107="","",IF($M107="Closed","CLOSED",IF($L107="","NO DUE DATE",IF(Setup!$C$5&gt;$L107,"OVERDUE",IF($L107-Setup!$C$5&lt;=7,"DUE SOON","OPEN")))))</f>
        <v/>
      </c>
      <c r="Q107" s="17">
        <f>IF($B107="","",IF($M107="Closed",0,1))</f>
        <v/>
      </c>
    </row>
    <row r="108" spans="1:17">
      <c r="A108" s="17">
        <f>IF($B108="","","F-1103")</f>
        <v/>
      </c>
      <c r="B108" s="28"/>
      <c r="C108" s="28"/>
      <c r="D108" s="8">
        <f>IF($B108="","",IFERROR(INDEX(Audit_Log!$B$6:$B$405,MATCH($B108,Audit_Log!$A$6:$A$405,0)),""))</f>
        <v/>
      </c>
      <c r="E108" s="18">
        <f>IF($B108="","",IFERROR(INDEX(Audit_Log!$C$6:$C$405,MATCH($B108,Audit_Log!$A$6:$A$405,0)),""))</f>
        <v/>
      </c>
      <c r="F108" s="17">
        <f>IF($B108="","",IFERROR(INDEX(Audit_Log!$D$6:$D$405,MATCH($B108,Audit_Log!$A$6:$A$405,0)),""))</f>
        <v/>
      </c>
      <c r="G108" s="30">
        <f>IF($C108="","",IFERROR(INDEX(Checklist!$D$6:$D$20,MATCH($C108,Checklist!$B$6:$B$20,0)),""))</f>
        <v/>
      </c>
      <c r="H108" s="29"/>
      <c r="I108" s="29"/>
      <c r="J108" s="29"/>
      <c r="K108" s="23"/>
      <c r="L108" s="24"/>
      <c r="M108" s="28"/>
      <c r="N108" s="24"/>
      <c r="O108" s="17">
        <f>IF(OR($B108="",$L108="",$M108="Closed"),"",MAX(0,Setup!$C$5-$L108))</f>
        <v/>
      </c>
      <c r="P108" s="17">
        <f>IF($B108="","",IF($M108="Closed","CLOSED",IF($L108="","NO DUE DATE",IF(Setup!$C$5&gt;$L108,"OVERDUE",IF($L108-Setup!$C$5&lt;=7,"DUE SOON","OPEN")))))</f>
        <v/>
      </c>
      <c r="Q108" s="17">
        <f>IF($B108="","",IF($M108="Closed",0,1))</f>
        <v/>
      </c>
    </row>
    <row r="109" spans="1:17">
      <c r="A109" s="17">
        <f>IF($B109="","","F-1104")</f>
        <v/>
      </c>
      <c r="B109" s="28"/>
      <c r="C109" s="28"/>
      <c r="D109" s="8">
        <f>IF($B109="","",IFERROR(INDEX(Audit_Log!$B$6:$B$405,MATCH($B109,Audit_Log!$A$6:$A$405,0)),""))</f>
        <v/>
      </c>
      <c r="E109" s="18">
        <f>IF($B109="","",IFERROR(INDEX(Audit_Log!$C$6:$C$405,MATCH($B109,Audit_Log!$A$6:$A$405,0)),""))</f>
        <v/>
      </c>
      <c r="F109" s="17">
        <f>IF($B109="","",IFERROR(INDEX(Audit_Log!$D$6:$D$405,MATCH($B109,Audit_Log!$A$6:$A$405,0)),""))</f>
        <v/>
      </c>
      <c r="G109" s="30">
        <f>IF($C109="","",IFERROR(INDEX(Checklist!$D$6:$D$20,MATCH($C109,Checklist!$B$6:$B$20,0)),""))</f>
        <v/>
      </c>
      <c r="H109" s="29"/>
      <c r="I109" s="29"/>
      <c r="J109" s="29"/>
      <c r="K109" s="23"/>
      <c r="L109" s="24"/>
      <c r="M109" s="28"/>
      <c r="N109" s="24"/>
      <c r="O109" s="17">
        <f>IF(OR($B109="",$L109="",$M109="Closed"),"",MAX(0,Setup!$C$5-$L109))</f>
        <v/>
      </c>
      <c r="P109" s="17">
        <f>IF($B109="","",IF($M109="Closed","CLOSED",IF($L109="","NO DUE DATE",IF(Setup!$C$5&gt;$L109,"OVERDUE",IF($L109-Setup!$C$5&lt;=7,"DUE SOON","OPEN")))))</f>
        <v/>
      </c>
      <c r="Q109" s="17">
        <f>IF($B109="","",IF($M109="Closed",0,1))</f>
        <v/>
      </c>
    </row>
    <row r="110" spans="1:17">
      <c r="A110" s="17">
        <f>IF($B110="","","F-1105")</f>
        <v/>
      </c>
      <c r="B110" s="28"/>
      <c r="C110" s="28"/>
      <c r="D110" s="8">
        <f>IF($B110="","",IFERROR(INDEX(Audit_Log!$B$6:$B$405,MATCH($B110,Audit_Log!$A$6:$A$405,0)),""))</f>
        <v/>
      </c>
      <c r="E110" s="18">
        <f>IF($B110="","",IFERROR(INDEX(Audit_Log!$C$6:$C$405,MATCH($B110,Audit_Log!$A$6:$A$405,0)),""))</f>
        <v/>
      </c>
      <c r="F110" s="17">
        <f>IF($B110="","",IFERROR(INDEX(Audit_Log!$D$6:$D$405,MATCH($B110,Audit_Log!$A$6:$A$405,0)),""))</f>
        <v/>
      </c>
      <c r="G110" s="30">
        <f>IF($C110="","",IFERROR(INDEX(Checklist!$D$6:$D$20,MATCH($C110,Checklist!$B$6:$B$20,0)),""))</f>
        <v/>
      </c>
      <c r="H110" s="29"/>
      <c r="I110" s="29"/>
      <c r="J110" s="29"/>
      <c r="K110" s="23"/>
      <c r="L110" s="24"/>
      <c r="M110" s="28"/>
      <c r="N110" s="24"/>
      <c r="O110" s="17">
        <f>IF(OR($B110="",$L110="",$M110="Closed"),"",MAX(0,Setup!$C$5-$L110))</f>
        <v/>
      </c>
      <c r="P110" s="17">
        <f>IF($B110="","",IF($M110="Closed","CLOSED",IF($L110="","NO DUE DATE",IF(Setup!$C$5&gt;$L110,"OVERDUE",IF($L110-Setup!$C$5&lt;=7,"DUE SOON","OPEN")))))</f>
        <v/>
      </c>
      <c r="Q110" s="17">
        <f>IF($B110="","",IF($M110="Closed",0,1))</f>
        <v/>
      </c>
    </row>
    <row r="111" spans="1:17">
      <c r="A111" s="17">
        <f>IF($B111="","","F-1106")</f>
        <v/>
      </c>
      <c r="B111" s="28"/>
      <c r="C111" s="28"/>
      <c r="D111" s="8">
        <f>IF($B111="","",IFERROR(INDEX(Audit_Log!$B$6:$B$405,MATCH($B111,Audit_Log!$A$6:$A$405,0)),""))</f>
        <v/>
      </c>
      <c r="E111" s="18">
        <f>IF($B111="","",IFERROR(INDEX(Audit_Log!$C$6:$C$405,MATCH($B111,Audit_Log!$A$6:$A$405,0)),""))</f>
        <v/>
      </c>
      <c r="F111" s="17">
        <f>IF($B111="","",IFERROR(INDEX(Audit_Log!$D$6:$D$405,MATCH($B111,Audit_Log!$A$6:$A$405,0)),""))</f>
        <v/>
      </c>
      <c r="G111" s="30">
        <f>IF($C111="","",IFERROR(INDEX(Checklist!$D$6:$D$20,MATCH($C111,Checklist!$B$6:$B$20,0)),""))</f>
        <v/>
      </c>
      <c r="H111" s="29"/>
      <c r="I111" s="29"/>
      <c r="J111" s="29"/>
      <c r="K111" s="23"/>
      <c r="L111" s="24"/>
      <c r="M111" s="28"/>
      <c r="N111" s="24"/>
      <c r="O111" s="17">
        <f>IF(OR($B111="",$L111="",$M111="Closed"),"",MAX(0,Setup!$C$5-$L111))</f>
        <v/>
      </c>
      <c r="P111" s="17">
        <f>IF($B111="","",IF($M111="Closed","CLOSED",IF($L111="","NO DUE DATE",IF(Setup!$C$5&gt;$L111,"OVERDUE",IF($L111-Setup!$C$5&lt;=7,"DUE SOON","OPEN")))))</f>
        <v/>
      </c>
      <c r="Q111" s="17">
        <f>IF($B111="","",IF($M111="Closed",0,1))</f>
        <v/>
      </c>
    </row>
    <row r="112" spans="1:17">
      <c r="A112" s="17">
        <f>IF($B112="","","F-1107")</f>
        <v/>
      </c>
      <c r="B112" s="28"/>
      <c r="C112" s="28"/>
      <c r="D112" s="8">
        <f>IF($B112="","",IFERROR(INDEX(Audit_Log!$B$6:$B$405,MATCH($B112,Audit_Log!$A$6:$A$405,0)),""))</f>
        <v/>
      </c>
      <c r="E112" s="18">
        <f>IF($B112="","",IFERROR(INDEX(Audit_Log!$C$6:$C$405,MATCH($B112,Audit_Log!$A$6:$A$405,0)),""))</f>
        <v/>
      </c>
      <c r="F112" s="17">
        <f>IF($B112="","",IFERROR(INDEX(Audit_Log!$D$6:$D$405,MATCH($B112,Audit_Log!$A$6:$A$405,0)),""))</f>
        <v/>
      </c>
      <c r="G112" s="30">
        <f>IF($C112="","",IFERROR(INDEX(Checklist!$D$6:$D$20,MATCH($C112,Checklist!$B$6:$B$20,0)),""))</f>
        <v/>
      </c>
      <c r="H112" s="29"/>
      <c r="I112" s="29"/>
      <c r="J112" s="29"/>
      <c r="K112" s="23"/>
      <c r="L112" s="24"/>
      <c r="M112" s="28"/>
      <c r="N112" s="24"/>
      <c r="O112" s="17">
        <f>IF(OR($B112="",$L112="",$M112="Closed"),"",MAX(0,Setup!$C$5-$L112))</f>
        <v/>
      </c>
      <c r="P112" s="17">
        <f>IF($B112="","",IF($M112="Closed","CLOSED",IF($L112="","NO DUE DATE",IF(Setup!$C$5&gt;$L112,"OVERDUE",IF($L112-Setup!$C$5&lt;=7,"DUE SOON","OPEN")))))</f>
        <v/>
      </c>
      <c r="Q112" s="17">
        <f>IF($B112="","",IF($M112="Closed",0,1))</f>
        <v/>
      </c>
    </row>
    <row r="113" spans="1:17">
      <c r="A113" s="17">
        <f>IF($B113="","","F-1108")</f>
        <v/>
      </c>
      <c r="B113" s="28"/>
      <c r="C113" s="28"/>
      <c r="D113" s="8">
        <f>IF($B113="","",IFERROR(INDEX(Audit_Log!$B$6:$B$405,MATCH($B113,Audit_Log!$A$6:$A$405,0)),""))</f>
        <v/>
      </c>
      <c r="E113" s="18">
        <f>IF($B113="","",IFERROR(INDEX(Audit_Log!$C$6:$C$405,MATCH($B113,Audit_Log!$A$6:$A$405,0)),""))</f>
        <v/>
      </c>
      <c r="F113" s="17">
        <f>IF($B113="","",IFERROR(INDEX(Audit_Log!$D$6:$D$405,MATCH($B113,Audit_Log!$A$6:$A$405,0)),""))</f>
        <v/>
      </c>
      <c r="G113" s="30">
        <f>IF($C113="","",IFERROR(INDEX(Checklist!$D$6:$D$20,MATCH($C113,Checklist!$B$6:$B$20,0)),""))</f>
        <v/>
      </c>
      <c r="H113" s="29"/>
      <c r="I113" s="29"/>
      <c r="J113" s="29"/>
      <c r="K113" s="23"/>
      <c r="L113" s="24"/>
      <c r="M113" s="28"/>
      <c r="N113" s="24"/>
      <c r="O113" s="17">
        <f>IF(OR($B113="",$L113="",$M113="Closed"),"",MAX(0,Setup!$C$5-$L113))</f>
        <v/>
      </c>
      <c r="P113" s="17">
        <f>IF($B113="","",IF($M113="Closed","CLOSED",IF($L113="","NO DUE DATE",IF(Setup!$C$5&gt;$L113,"OVERDUE",IF($L113-Setup!$C$5&lt;=7,"DUE SOON","OPEN")))))</f>
        <v/>
      </c>
      <c r="Q113" s="17">
        <f>IF($B113="","",IF($M113="Closed",0,1))</f>
        <v/>
      </c>
    </row>
    <row r="114" spans="1:17">
      <c r="A114" s="17">
        <f>IF($B114="","","F-1109")</f>
        <v/>
      </c>
      <c r="B114" s="28"/>
      <c r="C114" s="28"/>
      <c r="D114" s="8">
        <f>IF($B114="","",IFERROR(INDEX(Audit_Log!$B$6:$B$405,MATCH($B114,Audit_Log!$A$6:$A$405,0)),""))</f>
        <v/>
      </c>
      <c r="E114" s="18">
        <f>IF($B114="","",IFERROR(INDEX(Audit_Log!$C$6:$C$405,MATCH($B114,Audit_Log!$A$6:$A$405,0)),""))</f>
        <v/>
      </c>
      <c r="F114" s="17">
        <f>IF($B114="","",IFERROR(INDEX(Audit_Log!$D$6:$D$405,MATCH($B114,Audit_Log!$A$6:$A$405,0)),""))</f>
        <v/>
      </c>
      <c r="G114" s="30">
        <f>IF($C114="","",IFERROR(INDEX(Checklist!$D$6:$D$20,MATCH($C114,Checklist!$B$6:$B$20,0)),""))</f>
        <v/>
      </c>
      <c r="H114" s="29"/>
      <c r="I114" s="29"/>
      <c r="J114" s="29"/>
      <c r="K114" s="23"/>
      <c r="L114" s="24"/>
      <c r="M114" s="28"/>
      <c r="N114" s="24"/>
      <c r="O114" s="17">
        <f>IF(OR($B114="",$L114="",$M114="Closed"),"",MAX(0,Setup!$C$5-$L114))</f>
        <v/>
      </c>
      <c r="P114" s="17">
        <f>IF($B114="","",IF($M114="Closed","CLOSED",IF($L114="","NO DUE DATE",IF(Setup!$C$5&gt;$L114,"OVERDUE",IF($L114-Setup!$C$5&lt;=7,"DUE SOON","OPEN")))))</f>
        <v/>
      </c>
      <c r="Q114" s="17">
        <f>IF($B114="","",IF($M114="Closed",0,1))</f>
        <v/>
      </c>
    </row>
    <row r="115" spans="1:17">
      <c r="A115" s="17">
        <f>IF($B115="","","F-1110")</f>
        <v/>
      </c>
      <c r="B115" s="28"/>
      <c r="C115" s="28"/>
      <c r="D115" s="8">
        <f>IF($B115="","",IFERROR(INDEX(Audit_Log!$B$6:$B$405,MATCH($B115,Audit_Log!$A$6:$A$405,0)),""))</f>
        <v/>
      </c>
      <c r="E115" s="18">
        <f>IF($B115="","",IFERROR(INDEX(Audit_Log!$C$6:$C$405,MATCH($B115,Audit_Log!$A$6:$A$405,0)),""))</f>
        <v/>
      </c>
      <c r="F115" s="17">
        <f>IF($B115="","",IFERROR(INDEX(Audit_Log!$D$6:$D$405,MATCH($B115,Audit_Log!$A$6:$A$405,0)),""))</f>
        <v/>
      </c>
      <c r="G115" s="30">
        <f>IF($C115="","",IFERROR(INDEX(Checklist!$D$6:$D$20,MATCH($C115,Checklist!$B$6:$B$20,0)),""))</f>
        <v/>
      </c>
      <c r="H115" s="29"/>
      <c r="I115" s="29"/>
      <c r="J115" s="29"/>
      <c r="K115" s="23"/>
      <c r="L115" s="24"/>
      <c r="M115" s="28"/>
      <c r="N115" s="24"/>
      <c r="O115" s="17">
        <f>IF(OR($B115="",$L115="",$M115="Closed"),"",MAX(0,Setup!$C$5-$L115))</f>
        <v/>
      </c>
      <c r="P115" s="17">
        <f>IF($B115="","",IF($M115="Closed","CLOSED",IF($L115="","NO DUE DATE",IF(Setup!$C$5&gt;$L115,"OVERDUE",IF($L115-Setup!$C$5&lt;=7,"DUE SOON","OPEN")))))</f>
        <v/>
      </c>
      <c r="Q115" s="17">
        <f>IF($B115="","",IF($M115="Closed",0,1))</f>
        <v/>
      </c>
    </row>
    <row r="116" spans="1:17">
      <c r="A116" s="17">
        <f>IF($B116="","","F-1111")</f>
        <v/>
      </c>
      <c r="B116" s="28"/>
      <c r="C116" s="28"/>
      <c r="D116" s="8">
        <f>IF($B116="","",IFERROR(INDEX(Audit_Log!$B$6:$B$405,MATCH($B116,Audit_Log!$A$6:$A$405,0)),""))</f>
        <v/>
      </c>
      <c r="E116" s="18">
        <f>IF($B116="","",IFERROR(INDEX(Audit_Log!$C$6:$C$405,MATCH($B116,Audit_Log!$A$6:$A$405,0)),""))</f>
        <v/>
      </c>
      <c r="F116" s="17">
        <f>IF($B116="","",IFERROR(INDEX(Audit_Log!$D$6:$D$405,MATCH($B116,Audit_Log!$A$6:$A$405,0)),""))</f>
        <v/>
      </c>
      <c r="G116" s="30">
        <f>IF($C116="","",IFERROR(INDEX(Checklist!$D$6:$D$20,MATCH($C116,Checklist!$B$6:$B$20,0)),""))</f>
        <v/>
      </c>
      <c r="H116" s="29"/>
      <c r="I116" s="29"/>
      <c r="J116" s="29"/>
      <c r="K116" s="23"/>
      <c r="L116" s="24"/>
      <c r="M116" s="28"/>
      <c r="N116" s="24"/>
      <c r="O116" s="17">
        <f>IF(OR($B116="",$L116="",$M116="Closed"),"",MAX(0,Setup!$C$5-$L116))</f>
        <v/>
      </c>
      <c r="P116" s="17">
        <f>IF($B116="","",IF($M116="Closed","CLOSED",IF($L116="","NO DUE DATE",IF(Setup!$C$5&gt;$L116,"OVERDUE",IF($L116-Setup!$C$5&lt;=7,"DUE SOON","OPEN")))))</f>
        <v/>
      </c>
      <c r="Q116" s="17">
        <f>IF($B116="","",IF($M116="Closed",0,1))</f>
        <v/>
      </c>
    </row>
    <row r="117" spans="1:17">
      <c r="A117" s="17">
        <f>IF($B117="","","F-1112")</f>
        <v/>
      </c>
      <c r="B117" s="28"/>
      <c r="C117" s="28"/>
      <c r="D117" s="8">
        <f>IF($B117="","",IFERROR(INDEX(Audit_Log!$B$6:$B$405,MATCH($B117,Audit_Log!$A$6:$A$405,0)),""))</f>
        <v/>
      </c>
      <c r="E117" s="18">
        <f>IF($B117="","",IFERROR(INDEX(Audit_Log!$C$6:$C$405,MATCH($B117,Audit_Log!$A$6:$A$405,0)),""))</f>
        <v/>
      </c>
      <c r="F117" s="17">
        <f>IF($B117="","",IFERROR(INDEX(Audit_Log!$D$6:$D$405,MATCH($B117,Audit_Log!$A$6:$A$405,0)),""))</f>
        <v/>
      </c>
      <c r="G117" s="30">
        <f>IF($C117="","",IFERROR(INDEX(Checklist!$D$6:$D$20,MATCH($C117,Checklist!$B$6:$B$20,0)),""))</f>
        <v/>
      </c>
      <c r="H117" s="29"/>
      <c r="I117" s="29"/>
      <c r="J117" s="29"/>
      <c r="K117" s="23"/>
      <c r="L117" s="24"/>
      <c r="M117" s="28"/>
      <c r="N117" s="24"/>
      <c r="O117" s="17">
        <f>IF(OR($B117="",$L117="",$M117="Closed"),"",MAX(0,Setup!$C$5-$L117))</f>
        <v/>
      </c>
      <c r="P117" s="17">
        <f>IF($B117="","",IF($M117="Closed","CLOSED",IF($L117="","NO DUE DATE",IF(Setup!$C$5&gt;$L117,"OVERDUE",IF($L117-Setup!$C$5&lt;=7,"DUE SOON","OPEN")))))</f>
        <v/>
      </c>
      <c r="Q117" s="17">
        <f>IF($B117="","",IF($M117="Closed",0,1))</f>
        <v/>
      </c>
    </row>
    <row r="118" spans="1:17">
      <c r="A118" s="17">
        <f>IF($B118="","","F-1113")</f>
        <v/>
      </c>
      <c r="B118" s="28"/>
      <c r="C118" s="28"/>
      <c r="D118" s="8">
        <f>IF($B118="","",IFERROR(INDEX(Audit_Log!$B$6:$B$405,MATCH($B118,Audit_Log!$A$6:$A$405,0)),""))</f>
        <v/>
      </c>
      <c r="E118" s="18">
        <f>IF($B118="","",IFERROR(INDEX(Audit_Log!$C$6:$C$405,MATCH($B118,Audit_Log!$A$6:$A$405,0)),""))</f>
        <v/>
      </c>
      <c r="F118" s="17">
        <f>IF($B118="","",IFERROR(INDEX(Audit_Log!$D$6:$D$405,MATCH($B118,Audit_Log!$A$6:$A$405,0)),""))</f>
        <v/>
      </c>
      <c r="G118" s="30">
        <f>IF($C118="","",IFERROR(INDEX(Checklist!$D$6:$D$20,MATCH($C118,Checklist!$B$6:$B$20,0)),""))</f>
        <v/>
      </c>
      <c r="H118" s="29"/>
      <c r="I118" s="29"/>
      <c r="J118" s="29"/>
      <c r="K118" s="23"/>
      <c r="L118" s="24"/>
      <c r="M118" s="28"/>
      <c r="N118" s="24"/>
      <c r="O118" s="17">
        <f>IF(OR($B118="",$L118="",$M118="Closed"),"",MAX(0,Setup!$C$5-$L118))</f>
        <v/>
      </c>
      <c r="P118" s="17">
        <f>IF($B118="","",IF($M118="Closed","CLOSED",IF($L118="","NO DUE DATE",IF(Setup!$C$5&gt;$L118,"OVERDUE",IF($L118-Setup!$C$5&lt;=7,"DUE SOON","OPEN")))))</f>
        <v/>
      </c>
      <c r="Q118" s="17">
        <f>IF($B118="","",IF($M118="Closed",0,1))</f>
        <v/>
      </c>
    </row>
    <row r="119" spans="1:17">
      <c r="A119" s="17">
        <f>IF($B119="","","F-1114")</f>
        <v/>
      </c>
      <c r="B119" s="28"/>
      <c r="C119" s="28"/>
      <c r="D119" s="8">
        <f>IF($B119="","",IFERROR(INDEX(Audit_Log!$B$6:$B$405,MATCH($B119,Audit_Log!$A$6:$A$405,0)),""))</f>
        <v/>
      </c>
      <c r="E119" s="18">
        <f>IF($B119="","",IFERROR(INDEX(Audit_Log!$C$6:$C$405,MATCH($B119,Audit_Log!$A$6:$A$405,0)),""))</f>
        <v/>
      </c>
      <c r="F119" s="17">
        <f>IF($B119="","",IFERROR(INDEX(Audit_Log!$D$6:$D$405,MATCH($B119,Audit_Log!$A$6:$A$405,0)),""))</f>
        <v/>
      </c>
      <c r="G119" s="30">
        <f>IF($C119="","",IFERROR(INDEX(Checklist!$D$6:$D$20,MATCH($C119,Checklist!$B$6:$B$20,0)),""))</f>
        <v/>
      </c>
      <c r="H119" s="29"/>
      <c r="I119" s="29"/>
      <c r="J119" s="29"/>
      <c r="K119" s="23"/>
      <c r="L119" s="24"/>
      <c r="M119" s="28"/>
      <c r="N119" s="24"/>
      <c r="O119" s="17">
        <f>IF(OR($B119="",$L119="",$M119="Closed"),"",MAX(0,Setup!$C$5-$L119))</f>
        <v/>
      </c>
      <c r="P119" s="17">
        <f>IF($B119="","",IF($M119="Closed","CLOSED",IF($L119="","NO DUE DATE",IF(Setup!$C$5&gt;$L119,"OVERDUE",IF($L119-Setup!$C$5&lt;=7,"DUE SOON","OPEN")))))</f>
        <v/>
      </c>
      <c r="Q119" s="17">
        <f>IF($B119="","",IF($M119="Closed",0,1))</f>
        <v/>
      </c>
    </row>
    <row r="120" spans="1:17">
      <c r="A120" s="17">
        <f>IF($B120="","","F-1115")</f>
        <v/>
      </c>
      <c r="B120" s="28"/>
      <c r="C120" s="28"/>
      <c r="D120" s="8">
        <f>IF($B120="","",IFERROR(INDEX(Audit_Log!$B$6:$B$405,MATCH($B120,Audit_Log!$A$6:$A$405,0)),""))</f>
        <v/>
      </c>
      <c r="E120" s="18">
        <f>IF($B120="","",IFERROR(INDEX(Audit_Log!$C$6:$C$405,MATCH($B120,Audit_Log!$A$6:$A$405,0)),""))</f>
        <v/>
      </c>
      <c r="F120" s="17">
        <f>IF($B120="","",IFERROR(INDEX(Audit_Log!$D$6:$D$405,MATCH($B120,Audit_Log!$A$6:$A$405,0)),""))</f>
        <v/>
      </c>
      <c r="G120" s="30">
        <f>IF($C120="","",IFERROR(INDEX(Checklist!$D$6:$D$20,MATCH($C120,Checklist!$B$6:$B$20,0)),""))</f>
        <v/>
      </c>
      <c r="H120" s="29"/>
      <c r="I120" s="29"/>
      <c r="J120" s="29"/>
      <c r="K120" s="23"/>
      <c r="L120" s="24"/>
      <c r="M120" s="28"/>
      <c r="N120" s="24"/>
      <c r="O120" s="17">
        <f>IF(OR($B120="",$L120="",$M120="Closed"),"",MAX(0,Setup!$C$5-$L120))</f>
        <v/>
      </c>
      <c r="P120" s="17">
        <f>IF($B120="","",IF($M120="Closed","CLOSED",IF($L120="","NO DUE DATE",IF(Setup!$C$5&gt;$L120,"OVERDUE",IF($L120-Setup!$C$5&lt;=7,"DUE SOON","OPEN")))))</f>
        <v/>
      </c>
      <c r="Q120" s="17">
        <f>IF($B120="","",IF($M120="Closed",0,1))</f>
        <v/>
      </c>
    </row>
    <row r="121" spans="1:17">
      <c r="A121" s="17">
        <f>IF($B121="","","F-1116")</f>
        <v/>
      </c>
      <c r="B121" s="28"/>
      <c r="C121" s="28"/>
      <c r="D121" s="8">
        <f>IF($B121="","",IFERROR(INDEX(Audit_Log!$B$6:$B$405,MATCH($B121,Audit_Log!$A$6:$A$405,0)),""))</f>
        <v/>
      </c>
      <c r="E121" s="18">
        <f>IF($B121="","",IFERROR(INDEX(Audit_Log!$C$6:$C$405,MATCH($B121,Audit_Log!$A$6:$A$405,0)),""))</f>
        <v/>
      </c>
      <c r="F121" s="17">
        <f>IF($B121="","",IFERROR(INDEX(Audit_Log!$D$6:$D$405,MATCH($B121,Audit_Log!$A$6:$A$405,0)),""))</f>
        <v/>
      </c>
      <c r="G121" s="30">
        <f>IF($C121="","",IFERROR(INDEX(Checklist!$D$6:$D$20,MATCH($C121,Checklist!$B$6:$B$20,0)),""))</f>
        <v/>
      </c>
      <c r="H121" s="29"/>
      <c r="I121" s="29"/>
      <c r="J121" s="29"/>
      <c r="K121" s="23"/>
      <c r="L121" s="24"/>
      <c r="M121" s="28"/>
      <c r="N121" s="24"/>
      <c r="O121" s="17">
        <f>IF(OR($B121="",$L121="",$M121="Closed"),"",MAX(0,Setup!$C$5-$L121))</f>
        <v/>
      </c>
      <c r="P121" s="17">
        <f>IF($B121="","",IF($M121="Closed","CLOSED",IF($L121="","NO DUE DATE",IF(Setup!$C$5&gt;$L121,"OVERDUE",IF($L121-Setup!$C$5&lt;=7,"DUE SOON","OPEN")))))</f>
        <v/>
      </c>
      <c r="Q121" s="17">
        <f>IF($B121="","",IF($M121="Closed",0,1))</f>
        <v/>
      </c>
    </row>
    <row r="122" spans="1:17">
      <c r="A122" s="17">
        <f>IF($B122="","","F-1117")</f>
        <v/>
      </c>
      <c r="B122" s="28"/>
      <c r="C122" s="28"/>
      <c r="D122" s="8">
        <f>IF($B122="","",IFERROR(INDEX(Audit_Log!$B$6:$B$405,MATCH($B122,Audit_Log!$A$6:$A$405,0)),""))</f>
        <v/>
      </c>
      <c r="E122" s="18">
        <f>IF($B122="","",IFERROR(INDEX(Audit_Log!$C$6:$C$405,MATCH($B122,Audit_Log!$A$6:$A$405,0)),""))</f>
        <v/>
      </c>
      <c r="F122" s="17">
        <f>IF($B122="","",IFERROR(INDEX(Audit_Log!$D$6:$D$405,MATCH($B122,Audit_Log!$A$6:$A$405,0)),""))</f>
        <v/>
      </c>
      <c r="G122" s="30">
        <f>IF($C122="","",IFERROR(INDEX(Checklist!$D$6:$D$20,MATCH($C122,Checklist!$B$6:$B$20,0)),""))</f>
        <v/>
      </c>
      <c r="H122" s="29"/>
      <c r="I122" s="29"/>
      <c r="J122" s="29"/>
      <c r="K122" s="23"/>
      <c r="L122" s="24"/>
      <c r="M122" s="28"/>
      <c r="N122" s="24"/>
      <c r="O122" s="17">
        <f>IF(OR($B122="",$L122="",$M122="Closed"),"",MAX(0,Setup!$C$5-$L122))</f>
        <v/>
      </c>
      <c r="P122" s="17">
        <f>IF($B122="","",IF($M122="Closed","CLOSED",IF($L122="","NO DUE DATE",IF(Setup!$C$5&gt;$L122,"OVERDUE",IF($L122-Setup!$C$5&lt;=7,"DUE SOON","OPEN")))))</f>
        <v/>
      </c>
      <c r="Q122" s="17">
        <f>IF($B122="","",IF($M122="Closed",0,1))</f>
        <v/>
      </c>
    </row>
    <row r="123" spans="1:17">
      <c r="A123" s="17">
        <f>IF($B123="","","F-1118")</f>
        <v/>
      </c>
      <c r="B123" s="28"/>
      <c r="C123" s="28"/>
      <c r="D123" s="8">
        <f>IF($B123="","",IFERROR(INDEX(Audit_Log!$B$6:$B$405,MATCH($B123,Audit_Log!$A$6:$A$405,0)),""))</f>
        <v/>
      </c>
      <c r="E123" s="18">
        <f>IF($B123="","",IFERROR(INDEX(Audit_Log!$C$6:$C$405,MATCH($B123,Audit_Log!$A$6:$A$405,0)),""))</f>
        <v/>
      </c>
      <c r="F123" s="17">
        <f>IF($B123="","",IFERROR(INDEX(Audit_Log!$D$6:$D$405,MATCH($B123,Audit_Log!$A$6:$A$405,0)),""))</f>
        <v/>
      </c>
      <c r="G123" s="30">
        <f>IF($C123="","",IFERROR(INDEX(Checklist!$D$6:$D$20,MATCH($C123,Checklist!$B$6:$B$20,0)),""))</f>
        <v/>
      </c>
      <c r="H123" s="29"/>
      <c r="I123" s="29"/>
      <c r="J123" s="29"/>
      <c r="K123" s="23"/>
      <c r="L123" s="24"/>
      <c r="M123" s="28"/>
      <c r="N123" s="24"/>
      <c r="O123" s="17">
        <f>IF(OR($B123="",$L123="",$M123="Closed"),"",MAX(0,Setup!$C$5-$L123))</f>
        <v/>
      </c>
      <c r="P123" s="17">
        <f>IF($B123="","",IF($M123="Closed","CLOSED",IF($L123="","NO DUE DATE",IF(Setup!$C$5&gt;$L123,"OVERDUE",IF($L123-Setup!$C$5&lt;=7,"DUE SOON","OPEN")))))</f>
        <v/>
      </c>
      <c r="Q123" s="17">
        <f>IF($B123="","",IF($M123="Closed",0,1))</f>
        <v/>
      </c>
    </row>
    <row r="124" spans="1:17">
      <c r="A124" s="17">
        <f>IF($B124="","","F-1119")</f>
        <v/>
      </c>
      <c r="B124" s="28"/>
      <c r="C124" s="28"/>
      <c r="D124" s="8">
        <f>IF($B124="","",IFERROR(INDEX(Audit_Log!$B$6:$B$405,MATCH($B124,Audit_Log!$A$6:$A$405,0)),""))</f>
        <v/>
      </c>
      <c r="E124" s="18">
        <f>IF($B124="","",IFERROR(INDEX(Audit_Log!$C$6:$C$405,MATCH($B124,Audit_Log!$A$6:$A$405,0)),""))</f>
        <v/>
      </c>
      <c r="F124" s="17">
        <f>IF($B124="","",IFERROR(INDEX(Audit_Log!$D$6:$D$405,MATCH($B124,Audit_Log!$A$6:$A$405,0)),""))</f>
        <v/>
      </c>
      <c r="G124" s="30">
        <f>IF($C124="","",IFERROR(INDEX(Checklist!$D$6:$D$20,MATCH($C124,Checklist!$B$6:$B$20,0)),""))</f>
        <v/>
      </c>
      <c r="H124" s="29"/>
      <c r="I124" s="29"/>
      <c r="J124" s="29"/>
      <c r="K124" s="23"/>
      <c r="L124" s="24"/>
      <c r="M124" s="28"/>
      <c r="N124" s="24"/>
      <c r="O124" s="17">
        <f>IF(OR($B124="",$L124="",$M124="Closed"),"",MAX(0,Setup!$C$5-$L124))</f>
        <v/>
      </c>
      <c r="P124" s="17">
        <f>IF($B124="","",IF($M124="Closed","CLOSED",IF($L124="","NO DUE DATE",IF(Setup!$C$5&gt;$L124,"OVERDUE",IF($L124-Setup!$C$5&lt;=7,"DUE SOON","OPEN")))))</f>
        <v/>
      </c>
      <c r="Q124" s="17">
        <f>IF($B124="","",IF($M124="Closed",0,1))</f>
        <v/>
      </c>
    </row>
    <row r="125" spans="1:17">
      <c r="A125" s="17">
        <f>IF($B125="","","F-1120")</f>
        <v/>
      </c>
      <c r="B125" s="28"/>
      <c r="C125" s="28"/>
      <c r="D125" s="8">
        <f>IF($B125="","",IFERROR(INDEX(Audit_Log!$B$6:$B$405,MATCH($B125,Audit_Log!$A$6:$A$405,0)),""))</f>
        <v/>
      </c>
      <c r="E125" s="18">
        <f>IF($B125="","",IFERROR(INDEX(Audit_Log!$C$6:$C$405,MATCH($B125,Audit_Log!$A$6:$A$405,0)),""))</f>
        <v/>
      </c>
      <c r="F125" s="17">
        <f>IF($B125="","",IFERROR(INDEX(Audit_Log!$D$6:$D$405,MATCH($B125,Audit_Log!$A$6:$A$405,0)),""))</f>
        <v/>
      </c>
      <c r="G125" s="30">
        <f>IF($C125="","",IFERROR(INDEX(Checklist!$D$6:$D$20,MATCH($C125,Checklist!$B$6:$B$20,0)),""))</f>
        <v/>
      </c>
      <c r="H125" s="29"/>
      <c r="I125" s="29"/>
      <c r="J125" s="29"/>
      <c r="K125" s="23"/>
      <c r="L125" s="24"/>
      <c r="M125" s="28"/>
      <c r="N125" s="24"/>
      <c r="O125" s="17">
        <f>IF(OR($B125="",$L125="",$M125="Closed"),"",MAX(0,Setup!$C$5-$L125))</f>
        <v/>
      </c>
      <c r="P125" s="17">
        <f>IF($B125="","",IF($M125="Closed","CLOSED",IF($L125="","NO DUE DATE",IF(Setup!$C$5&gt;$L125,"OVERDUE",IF($L125-Setup!$C$5&lt;=7,"DUE SOON","OPEN")))))</f>
        <v/>
      </c>
      <c r="Q125" s="17">
        <f>IF($B125="","",IF($M125="Closed",0,1))</f>
        <v/>
      </c>
    </row>
    <row r="126" spans="1:17">
      <c r="A126" s="17">
        <f>IF($B126="","","F-1121")</f>
        <v/>
      </c>
      <c r="B126" s="28"/>
      <c r="C126" s="28"/>
      <c r="D126" s="8">
        <f>IF($B126="","",IFERROR(INDEX(Audit_Log!$B$6:$B$405,MATCH($B126,Audit_Log!$A$6:$A$405,0)),""))</f>
        <v/>
      </c>
      <c r="E126" s="18">
        <f>IF($B126="","",IFERROR(INDEX(Audit_Log!$C$6:$C$405,MATCH($B126,Audit_Log!$A$6:$A$405,0)),""))</f>
        <v/>
      </c>
      <c r="F126" s="17">
        <f>IF($B126="","",IFERROR(INDEX(Audit_Log!$D$6:$D$405,MATCH($B126,Audit_Log!$A$6:$A$405,0)),""))</f>
        <v/>
      </c>
      <c r="G126" s="30">
        <f>IF($C126="","",IFERROR(INDEX(Checklist!$D$6:$D$20,MATCH($C126,Checklist!$B$6:$B$20,0)),""))</f>
        <v/>
      </c>
      <c r="H126" s="29"/>
      <c r="I126" s="29"/>
      <c r="J126" s="29"/>
      <c r="K126" s="23"/>
      <c r="L126" s="24"/>
      <c r="M126" s="28"/>
      <c r="N126" s="24"/>
      <c r="O126" s="17">
        <f>IF(OR($B126="",$L126="",$M126="Closed"),"",MAX(0,Setup!$C$5-$L126))</f>
        <v/>
      </c>
      <c r="P126" s="17">
        <f>IF($B126="","",IF($M126="Closed","CLOSED",IF($L126="","NO DUE DATE",IF(Setup!$C$5&gt;$L126,"OVERDUE",IF($L126-Setup!$C$5&lt;=7,"DUE SOON","OPEN")))))</f>
        <v/>
      </c>
      <c r="Q126" s="17">
        <f>IF($B126="","",IF($M126="Closed",0,1))</f>
        <v/>
      </c>
    </row>
    <row r="127" spans="1:17">
      <c r="A127" s="17">
        <f>IF($B127="","","F-1122")</f>
        <v/>
      </c>
      <c r="B127" s="28"/>
      <c r="C127" s="28"/>
      <c r="D127" s="8">
        <f>IF($B127="","",IFERROR(INDEX(Audit_Log!$B$6:$B$405,MATCH($B127,Audit_Log!$A$6:$A$405,0)),""))</f>
        <v/>
      </c>
      <c r="E127" s="18">
        <f>IF($B127="","",IFERROR(INDEX(Audit_Log!$C$6:$C$405,MATCH($B127,Audit_Log!$A$6:$A$405,0)),""))</f>
        <v/>
      </c>
      <c r="F127" s="17">
        <f>IF($B127="","",IFERROR(INDEX(Audit_Log!$D$6:$D$405,MATCH($B127,Audit_Log!$A$6:$A$405,0)),""))</f>
        <v/>
      </c>
      <c r="G127" s="30">
        <f>IF($C127="","",IFERROR(INDEX(Checklist!$D$6:$D$20,MATCH($C127,Checklist!$B$6:$B$20,0)),""))</f>
        <v/>
      </c>
      <c r="H127" s="29"/>
      <c r="I127" s="29"/>
      <c r="J127" s="29"/>
      <c r="K127" s="23"/>
      <c r="L127" s="24"/>
      <c r="M127" s="28"/>
      <c r="N127" s="24"/>
      <c r="O127" s="17">
        <f>IF(OR($B127="",$L127="",$M127="Closed"),"",MAX(0,Setup!$C$5-$L127))</f>
        <v/>
      </c>
      <c r="P127" s="17">
        <f>IF($B127="","",IF($M127="Closed","CLOSED",IF($L127="","NO DUE DATE",IF(Setup!$C$5&gt;$L127,"OVERDUE",IF($L127-Setup!$C$5&lt;=7,"DUE SOON","OPEN")))))</f>
        <v/>
      </c>
      <c r="Q127" s="17">
        <f>IF($B127="","",IF($M127="Closed",0,1))</f>
        <v/>
      </c>
    </row>
    <row r="128" spans="1:17">
      <c r="A128" s="17">
        <f>IF($B128="","","F-1123")</f>
        <v/>
      </c>
      <c r="B128" s="28"/>
      <c r="C128" s="28"/>
      <c r="D128" s="8">
        <f>IF($B128="","",IFERROR(INDEX(Audit_Log!$B$6:$B$405,MATCH($B128,Audit_Log!$A$6:$A$405,0)),""))</f>
        <v/>
      </c>
      <c r="E128" s="18">
        <f>IF($B128="","",IFERROR(INDEX(Audit_Log!$C$6:$C$405,MATCH($B128,Audit_Log!$A$6:$A$405,0)),""))</f>
        <v/>
      </c>
      <c r="F128" s="17">
        <f>IF($B128="","",IFERROR(INDEX(Audit_Log!$D$6:$D$405,MATCH($B128,Audit_Log!$A$6:$A$405,0)),""))</f>
        <v/>
      </c>
      <c r="G128" s="30">
        <f>IF($C128="","",IFERROR(INDEX(Checklist!$D$6:$D$20,MATCH($C128,Checklist!$B$6:$B$20,0)),""))</f>
        <v/>
      </c>
      <c r="H128" s="29"/>
      <c r="I128" s="29"/>
      <c r="J128" s="29"/>
      <c r="K128" s="23"/>
      <c r="L128" s="24"/>
      <c r="M128" s="28"/>
      <c r="N128" s="24"/>
      <c r="O128" s="17">
        <f>IF(OR($B128="",$L128="",$M128="Closed"),"",MAX(0,Setup!$C$5-$L128))</f>
        <v/>
      </c>
      <c r="P128" s="17">
        <f>IF($B128="","",IF($M128="Closed","CLOSED",IF($L128="","NO DUE DATE",IF(Setup!$C$5&gt;$L128,"OVERDUE",IF($L128-Setup!$C$5&lt;=7,"DUE SOON","OPEN")))))</f>
        <v/>
      </c>
      <c r="Q128" s="17">
        <f>IF($B128="","",IF($M128="Closed",0,1))</f>
        <v/>
      </c>
    </row>
    <row r="129" spans="1:17">
      <c r="A129" s="17">
        <f>IF($B129="","","F-1124")</f>
        <v/>
      </c>
      <c r="B129" s="28"/>
      <c r="C129" s="28"/>
      <c r="D129" s="8">
        <f>IF($B129="","",IFERROR(INDEX(Audit_Log!$B$6:$B$405,MATCH($B129,Audit_Log!$A$6:$A$405,0)),""))</f>
        <v/>
      </c>
      <c r="E129" s="18">
        <f>IF($B129="","",IFERROR(INDEX(Audit_Log!$C$6:$C$405,MATCH($B129,Audit_Log!$A$6:$A$405,0)),""))</f>
        <v/>
      </c>
      <c r="F129" s="17">
        <f>IF($B129="","",IFERROR(INDEX(Audit_Log!$D$6:$D$405,MATCH($B129,Audit_Log!$A$6:$A$405,0)),""))</f>
        <v/>
      </c>
      <c r="G129" s="30">
        <f>IF($C129="","",IFERROR(INDEX(Checklist!$D$6:$D$20,MATCH($C129,Checklist!$B$6:$B$20,0)),""))</f>
        <v/>
      </c>
      <c r="H129" s="29"/>
      <c r="I129" s="29"/>
      <c r="J129" s="29"/>
      <c r="K129" s="23"/>
      <c r="L129" s="24"/>
      <c r="M129" s="28"/>
      <c r="N129" s="24"/>
      <c r="O129" s="17">
        <f>IF(OR($B129="",$L129="",$M129="Closed"),"",MAX(0,Setup!$C$5-$L129))</f>
        <v/>
      </c>
      <c r="P129" s="17">
        <f>IF($B129="","",IF($M129="Closed","CLOSED",IF($L129="","NO DUE DATE",IF(Setup!$C$5&gt;$L129,"OVERDUE",IF($L129-Setup!$C$5&lt;=7,"DUE SOON","OPEN")))))</f>
        <v/>
      </c>
      <c r="Q129" s="17">
        <f>IF($B129="","",IF($M129="Closed",0,1))</f>
        <v/>
      </c>
    </row>
    <row r="130" spans="1:17">
      <c r="A130" s="17">
        <f>IF($B130="","","F-1125")</f>
        <v/>
      </c>
      <c r="B130" s="28"/>
      <c r="C130" s="28"/>
      <c r="D130" s="8">
        <f>IF($B130="","",IFERROR(INDEX(Audit_Log!$B$6:$B$405,MATCH($B130,Audit_Log!$A$6:$A$405,0)),""))</f>
        <v/>
      </c>
      <c r="E130" s="18">
        <f>IF($B130="","",IFERROR(INDEX(Audit_Log!$C$6:$C$405,MATCH($B130,Audit_Log!$A$6:$A$405,0)),""))</f>
        <v/>
      </c>
      <c r="F130" s="17">
        <f>IF($B130="","",IFERROR(INDEX(Audit_Log!$D$6:$D$405,MATCH($B130,Audit_Log!$A$6:$A$405,0)),""))</f>
        <v/>
      </c>
      <c r="G130" s="30">
        <f>IF($C130="","",IFERROR(INDEX(Checklist!$D$6:$D$20,MATCH($C130,Checklist!$B$6:$B$20,0)),""))</f>
        <v/>
      </c>
      <c r="H130" s="29"/>
      <c r="I130" s="29"/>
      <c r="J130" s="29"/>
      <c r="K130" s="23"/>
      <c r="L130" s="24"/>
      <c r="M130" s="28"/>
      <c r="N130" s="24"/>
      <c r="O130" s="17">
        <f>IF(OR($B130="",$L130="",$M130="Closed"),"",MAX(0,Setup!$C$5-$L130))</f>
        <v/>
      </c>
      <c r="P130" s="17">
        <f>IF($B130="","",IF($M130="Closed","CLOSED",IF($L130="","NO DUE DATE",IF(Setup!$C$5&gt;$L130,"OVERDUE",IF($L130-Setup!$C$5&lt;=7,"DUE SOON","OPEN")))))</f>
        <v/>
      </c>
      <c r="Q130" s="17">
        <f>IF($B130="","",IF($M130="Closed",0,1))</f>
        <v/>
      </c>
    </row>
    <row r="131" spans="1:17">
      <c r="A131" s="17">
        <f>IF($B131="","","F-1126")</f>
        <v/>
      </c>
      <c r="B131" s="28"/>
      <c r="C131" s="28"/>
      <c r="D131" s="8">
        <f>IF($B131="","",IFERROR(INDEX(Audit_Log!$B$6:$B$405,MATCH($B131,Audit_Log!$A$6:$A$405,0)),""))</f>
        <v/>
      </c>
      <c r="E131" s="18">
        <f>IF($B131="","",IFERROR(INDEX(Audit_Log!$C$6:$C$405,MATCH($B131,Audit_Log!$A$6:$A$405,0)),""))</f>
        <v/>
      </c>
      <c r="F131" s="17">
        <f>IF($B131="","",IFERROR(INDEX(Audit_Log!$D$6:$D$405,MATCH($B131,Audit_Log!$A$6:$A$405,0)),""))</f>
        <v/>
      </c>
      <c r="G131" s="30">
        <f>IF($C131="","",IFERROR(INDEX(Checklist!$D$6:$D$20,MATCH($C131,Checklist!$B$6:$B$20,0)),""))</f>
        <v/>
      </c>
      <c r="H131" s="29"/>
      <c r="I131" s="29"/>
      <c r="J131" s="29"/>
      <c r="K131" s="23"/>
      <c r="L131" s="24"/>
      <c r="M131" s="28"/>
      <c r="N131" s="24"/>
      <c r="O131" s="17">
        <f>IF(OR($B131="",$L131="",$M131="Closed"),"",MAX(0,Setup!$C$5-$L131))</f>
        <v/>
      </c>
      <c r="P131" s="17">
        <f>IF($B131="","",IF($M131="Closed","CLOSED",IF($L131="","NO DUE DATE",IF(Setup!$C$5&gt;$L131,"OVERDUE",IF($L131-Setup!$C$5&lt;=7,"DUE SOON","OPEN")))))</f>
        <v/>
      </c>
      <c r="Q131" s="17">
        <f>IF($B131="","",IF($M131="Closed",0,1))</f>
        <v/>
      </c>
    </row>
    <row r="132" spans="1:17">
      <c r="A132" s="17">
        <f>IF($B132="","","F-1127")</f>
        <v/>
      </c>
      <c r="B132" s="28"/>
      <c r="C132" s="28"/>
      <c r="D132" s="8">
        <f>IF($B132="","",IFERROR(INDEX(Audit_Log!$B$6:$B$405,MATCH($B132,Audit_Log!$A$6:$A$405,0)),""))</f>
        <v/>
      </c>
      <c r="E132" s="18">
        <f>IF($B132="","",IFERROR(INDEX(Audit_Log!$C$6:$C$405,MATCH($B132,Audit_Log!$A$6:$A$405,0)),""))</f>
        <v/>
      </c>
      <c r="F132" s="17">
        <f>IF($B132="","",IFERROR(INDEX(Audit_Log!$D$6:$D$405,MATCH($B132,Audit_Log!$A$6:$A$405,0)),""))</f>
        <v/>
      </c>
      <c r="G132" s="30">
        <f>IF($C132="","",IFERROR(INDEX(Checklist!$D$6:$D$20,MATCH($C132,Checklist!$B$6:$B$20,0)),""))</f>
        <v/>
      </c>
      <c r="H132" s="29"/>
      <c r="I132" s="29"/>
      <c r="J132" s="29"/>
      <c r="K132" s="23"/>
      <c r="L132" s="24"/>
      <c r="M132" s="28"/>
      <c r="N132" s="24"/>
      <c r="O132" s="17">
        <f>IF(OR($B132="",$L132="",$M132="Closed"),"",MAX(0,Setup!$C$5-$L132))</f>
        <v/>
      </c>
      <c r="P132" s="17">
        <f>IF($B132="","",IF($M132="Closed","CLOSED",IF($L132="","NO DUE DATE",IF(Setup!$C$5&gt;$L132,"OVERDUE",IF($L132-Setup!$C$5&lt;=7,"DUE SOON","OPEN")))))</f>
        <v/>
      </c>
      <c r="Q132" s="17">
        <f>IF($B132="","",IF($M132="Closed",0,1))</f>
        <v/>
      </c>
    </row>
    <row r="133" spans="1:17">
      <c r="A133" s="17">
        <f>IF($B133="","","F-1128")</f>
        <v/>
      </c>
      <c r="B133" s="28"/>
      <c r="C133" s="28"/>
      <c r="D133" s="8">
        <f>IF($B133="","",IFERROR(INDEX(Audit_Log!$B$6:$B$405,MATCH($B133,Audit_Log!$A$6:$A$405,0)),""))</f>
        <v/>
      </c>
      <c r="E133" s="18">
        <f>IF($B133="","",IFERROR(INDEX(Audit_Log!$C$6:$C$405,MATCH($B133,Audit_Log!$A$6:$A$405,0)),""))</f>
        <v/>
      </c>
      <c r="F133" s="17">
        <f>IF($B133="","",IFERROR(INDEX(Audit_Log!$D$6:$D$405,MATCH($B133,Audit_Log!$A$6:$A$405,0)),""))</f>
        <v/>
      </c>
      <c r="G133" s="30">
        <f>IF($C133="","",IFERROR(INDEX(Checklist!$D$6:$D$20,MATCH($C133,Checklist!$B$6:$B$20,0)),""))</f>
        <v/>
      </c>
      <c r="H133" s="29"/>
      <c r="I133" s="29"/>
      <c r="J133" s="29"/>
      <c r="K133" s="23"/>
      <c r="L133" s="24"/>
      <c r="M133" s="28"/>
      <c r="N133" s="24"/>
      <c r="O133" s="17">
        <f>IF(OR($B133="",$L133="",$M133="Closed"),"",MAX(0,Setup!$C$5-$L133))</f>
        <v/>
      </c>
      <c r="P133" s="17">
        <f>IF($B133="","",IF($M133="Closed","CLOSED",IF($L133="","NO DUE DATE",IF(Setup!$C$5&gt;$L133,"OVERDUE",IF($L133-Setup!$C$5&lt;=7,"DUE SOON","OPEN")))))</f>
        <v/>
      </c>
      <c r="Q133" s="17">
        <f>IF($B133="","",IF($M133="Closed",0,1))</f>
        <v/>
      </c>
    </row>
    <row r="134" spans="1:17">
      <c r="A134" s="17">
        <f>IF($B134="","","F-1129")</f>
        <v/>
      </c>
      <c r="B134" s="28"/>
      <c r="C134" s="28"/>
      <c r="D134" s="8">
        <f>IF($B134="","",IFERROR(INDEX(Audit_Log!$B$6:$B$405,MATCH($B134,Audit_Log!$A$6:$A$405,0)),""))</f>
        <v/>
      </c>
      <c r="E134" s="18">
        <f>IF($B134="","",IFERROR(INDEX(Audit_Log!$C$6:$C$405,MATCH($B134,Audit_Log!$A$6:$A$405,0)),""))</f>
        <v/>
      </c>
      <c r="F134" s="17">
        <f>IF($B134="","",IFERROR(INDEX(Audit_Log!$D$6:$D$405,MATCH($B134,Audit_Log!$A$6:$A$405,0)),""))</f>
        <v/>
      </c>
      <c r="G134" s="30">
        <f>IF($C134="","",IFERROR(INDEX(Checklist!$D$6:$D$20,MATCH($C134,Checklist!$B$6:$B$20,0)),""))</f>
        <v/>
      </c>
      <c r="H134" s="29"/>
      <c r="I134" s="29"/>
      <c r="J134" s="29"/>
      <c r="K134" s="23"/>
      <c r="L134" s="24"/>
      <c r="M134" s="28"/>
      <c r="N134" s="24"/>
      <c r="O134" s="17">
        <f>IF(OR($B134="",$L134="",$M134="Closed"),"",MAX(0,Setup!$C$5-$L134))</f>
        <v/>
      </c>
      <c r="P134" s="17">
        <f>IF($B134="","",IF($M134="Closed","CLOSED",IF($L134="","NO DUE DATE",IF(Setup!$C$5&gt;$L134,"OVERDUE",IF($L134-Setup!$C$5&lt;=7,"DUE SOON","OPEN")))))</f>
        <v/>
      </c>
      <c r="Q134" s="17">
        <f>IF($B134="","",IF($M134="Closed",0,1))</f>
        <v/>
      </c>
    </row>
    <row r="135" spans="1:17">
      <c r="A135" s="17">
        <f>IF($B135="","","F-1130")</f>
        <v/>
      </c>
      <c r="B135" s="28"/>
      <c r="C135" s="28"/>
      <c r="D135" s="8">
        <f>IF($B135="","",IFERROR(INDEX(Audit_Log!$B$6:$B$405,MATCH($B135,Audit_Log!$A$6:$A$405,0)),""))</f>
        <v/>
      </c>
      <c r="E135" s="18">
        <f>IF($B135="","",IFERROR(INDEX(Audit_Log!$C$6:$C$405,MATCH($B135,Audit_Log!$A$6:$A$405,0)),""))</f>
        <v/>
      </c>
      <c r="F135" s="17">
        <f>IF($B135="","",IFERROR(INDEX(Audit_Log!$D$6:$D$405,MATCH($B135,Audit_Log!$A$6:$A$405,0)),""))</f>
        <v/>
      </c>
      <c r="G135" s="30">
        <f>IF($C135="","",IFERROR(INDEX(Checklist!$D$6:$D$20,MATCH($C135,Checklist!$B$6:$B$20,0)),""))</f>
        <v/>
      </c>
      <c r="H135" s="29"/>
      <c r="I135" s="29"/>
      <c r="J135" s="29"/>
      <c r="K135" s="23"/>
      <c r="L135" s="24"/>
      <c r="M135" s="28"/>
      <c r="N135" s="24"/>
      <c r="O135" s="17">
        <f>IF(OR($B135="",$L135="",$M135="Closed"),"",MAX(0,Setup!$C$5-$L135))</f>
        <v/>
      </c>
      <c r="P135" s="17">
        <f>IF($B135="","",IF($M135="Closed","CLOSED",IF($L135="","NO DUE DATE",IF(Setup!$C$5&gt;$L135,"OVERDUE",IF($L135-Setup!$C$5&lt;=7,"DUE SOON","OPEN")))))</f>
        <v/>
      </c>
      <c r="Q135" s="17">
        <f>IF($B135="","",IF($M135="Closed",0,1))</f>
        <v/>
      </c>
    </row>
    <row r="136" spans="1:17">
      <c r="A136" s="17">
        <f>IF($B136="","","F-1131")</f>
        <v/>
      </c>
      <c r="B136" s="28"/>
      <c r="C136" s="28"/>
      <c r="D136" s="8">
        <f>IF($B136="","",IFERROR(INDEX(Audit_Log!$B$6:$B$405,MATCH($B136,Audit_Log!$A$6:$A$405,0)),""))</f>
        <v/>
      </c>
      <c r="E136" s="18">
        <f>IF($B136="","",IFERROR(INDEX(Audit_Log!$C$6:$C$405,MATCH($B136,Audit_Log!$A$6:$A$405,0)),""))</f>
        <v/>
      </c>
      <c r="F136" s="17">
        <f>IF($B136="","",IFERROR(INDEX(Audit_Log!$D$6:$D$405,MATCH($B136,Audit_Log!$A$6:$A$405,0)),""))</f>
        <v/>
      </c>
      <c r="G136" s="30">
        <f>IF($C136="","",IFERROR(INDEX(Checklist!$D$6:$D$20,MATCH($C136,Checklist!$B$6:$B$20,0)),""))</f>
        <v/>
      </c>
      <c r="H136" s="29"/>
      <c r="I136" s="29"/>
      <c r="J136" s="29"/>
      <c r="K136" s="23"/>
      <c r="L136" s="24"/>
      <c r="M136" s="28"/>
      <c r="N136" s="24"/>
      <c r="O136" s="17">
        <f>IF(OR($B136="",$L136="",$M136="Closed"),"",MAX(0,Setup!$C$5-$L136))</f>
        <v/>
      </c>
      <c r="P136" s="17">
        <f>IF($B136="","",IF($M136="Closed","CLOSED",IF($L136="","NO DUE DATE",IF(Setup!$C$5&gt;$L136,"OVERDUE",IF($L136-Setup!$C$5&lt;=7,"DUE SOON","OPEN")))))</f>
        <v/>
      </c>
      <c r="Q136" s="17">
        <f>IF($B136="","",IF($M136="Closed",0,1))</f>
        <v/>
      </c>
    </row>
    <row r="137" spans="1:17">
      <c r="A137" s="17">
        <f>IF($B137="","","F-1132")</f>
        <v/>
      </c>
      <c r="B137" s="28"/>
      <c r="C137" s="28"/>
      <c r="D137" s="8">
        <f>IF($B137="","",IFERROR(INDEX(Audit_Log!$B$6:$B$405,MATCH($B137,Audit_Log!$A$6:$A$405,0)),""))</f>
        <v/>
      </c>
      <c r="E137" s="18">
        <f>IF($B137="","",IFERROR(INDEX(Audit_Log!$C$6:$C$405,MATCH($B137,Audit_Log!$A$6:$A$405,0)),""))</f>
        <v/>
      </c>
      <c r="F137" s="17">
        <f>IF($B137="","",IFERROR(INDEX(Audit_Log!$D$6:$D$405,MATCH($B137,Audit_Log!$A$6:$A$405,0)),""))</f>
        <v/>
      </c>
      <c r="G137" s="30">
        <f>IF($C137="","",IFERROR(INDEX(Checklist!$D$6:$D$20,MATCH($C137,Checklist!$B$6:$B$20,0)),""))</f>
        <v/>
      </c>
      <c r="H137" s="29"/>
      <c r="I137" s="29"/>
      <c r="J137" s="29"/>
      <c r="K137" s="23"/>
      <c r="L137" s="24"/>
      <c r="M137" s="28"/>
      <c r="N137" s="24"/>
      <c r="O137" s="17">
        <f>IF(OR($B137="",$L137="",$M137="Closed"),"",MAX(0,Setup!$C$5-$L137))</f>
        <v/>
      </c>
      <c r="P137" s="17">
        <f>IF($B137="","",IF($M137="Closed","CLOSED",IF($L137="","NO DUE DATE",IF(Setup!$C$5&gt;$L137,"OVERDUE",IF($L137-Setup!$C$5&lt;=7,"DUE SOON","OPEN")))))</f>
        <v/>
      </c>
      <c r="Q137" s="17">
        <f>IF($B137="","",IF($M137="Closed",0,1))</f>
        <v/>
      </c>
    </row>
    <row r="138" spans="1:17">
      <c r="A138" s="17">
        <f>IF($B138="","","F-1133")</f>
        <v/>
      </c>
      <c r="B138" s="28"/>
      <c r="C138" s="28"/>
      <c r="D138" s="8">
        <f>IF($B138="","",IFERROR(INDEX(Audit_Log!$B$6:$B$405,MATCH($B138,Audit_Log!$A$6:$A$405,0)),""))</f>
        <v/>
      </c>
      <c r="E138" s="18">
        <f>IF($B138="","",IFERROR(INDEX(Audit_Log!$C$6:$C$405,MATCH($B138,Audit_Log!$A$6:$A$405,0)),""))</f>
        <v/>
      </c>
      <c r="F138" s="17">
        <f>IF($B138="","",IFERROR(INDEX(Audit_Log!$D$6:$D$405,MATCH($B138,Audit_Log!$A$6:$A$405,0)),""))</f>
        <v/>
      </c>
      <c r="G138" s="30">
        <f>IF($C138="","",IFERROR(INDEX(Checklist!$D$6:$D$20,MATCH($C138,Checklist!$B$6:$B$20,0)),""))</f>
        <v/>
      </c>
      <c r="H138" s="29"/>
      <c r="I138" s="29"/>
      <c r="J138" s="29"/>
      <c r="K138" s="23"/>
      <c r="L138" s="24"/>
      <c r="M138" s="28"/>
      <c r="N138" s="24"/>
      <c r="O138" s="17">
        <f>IF(OR($B138="",$L138="",$M138="Closed"),"",MAX(0,Setup!$C$5-$L138))</f>
        <v/>
      </c>
      <c r="P138" s="17">
        <f>IF($B138="","",IF($M138="Closed","CLOSED",IF($L138="","NO DUE DATE",IF(Setup!$C$5&gt;$L138,"OVERDUE",IF($L138-Setup!$C$5&lt;=7,"DUE SOON","OPEN")))))</f>
        <v/>
      </c>
      <c r="Q138" s="17">
        <f>IF($B138="","",IF($M138="Closed",0,1))</f>
        <v/>
      </c>
    </row>
    <row r="139" spans="1:17">
      <c r="A139" s="17">
        <f>IF($B139="","","F-1134")</f>
        <v/>
      </c>
      <c r="B139" s="28"/>
      <c r="C139" s="28"/>
      <c r="D139" s="8">
        <f>IF($B139="","",IFERROR(INDEX(Audit_Log!$B$6:$B$405,MATCH($B139,Audit_Log!$A$6:$A$405,0)),""))</f>
        <v/>
      </c>
      <c r="E139" s="18">
        <f>IF($B139="","",IFERROR(INDEX(Audit_Log!$C$6:$C$405,MATCH($B139,Audit_Log!$A$6:$A$405,0)),""))</f>
        <v/>
      </c>
      <c r="F139" s="17">
        <f>IF($B139="","",IFERROR(INDEX(Audit_Log!$D$6:$D$405,MATCH($B139,Audit_Log!$A$6:$A$405,0)),""))</f>
        <v/>
      </c>
      <c r="G139" s="30">
        <f>IF($C139="","",IFERROR(INDEX(Checklist!$D$6:$D$20,MATCH($C139,Checklist!$B$6:$B$20,0)),""))</f>
        <v/>
      </c>
      <c r="H139" s="29"/>
      <c r="I139" s="29"/>
      <c r="J139" s="29"/>
      <c r="K139" s="23"/>
      <c r="L139" s="24"/>
      <c r="M139" s="28"/>
      <c r="N139" s="24"/>
      <c r="O139" s="17">
        <f>IF(OR($B139="",$L139="",$M139="Closed"),"",MAX(0,Setup!$C$5-$L139))</f>
        <v/>
      </c>
      <c r="P139" s="17">
        <f>IF($B139="","",IF($M139="Closed","CLOSED",IF($L139="","NO DUE DATE",IF(Setup!$C$5&gt;$L139,"OVERDUE",IF($L139-Setup!$C$5&lt;=7,"DUE SOON","OPEN")))))</f>
        <v/>
      </c>
      <c r="Q139" s="17">
        <f>IF($B139="","",IF($M139="Closed",0,1))</f>
        <v/>
      </c>
    </row>
    <row r="140" spans="1:17">
      <c r="A140" s="17">
        <f>IF($B140="","","F-1135")</f>
        <v/>
      </c>
      <c r="B140" s="28"/>
      <c r="C140" s="28"/>
      <c r="D140" s="8">
        <f>IF($B140="","",IFERROR(INDEX(Audit_Log!$B$6:$B$405,MATCH($B140,Audit_Log!$A$6:$A$405,0)),""))</f>
        <v/>
      </c>
      <c r="E140" s="18">
        <f>IF($B140="","",IFERROR(INDEX(Audit_Log!$C$6:$C$405,MATCH($B140,Audit_Log!$A$6:$A$405,0)),""))</f>
        <v/>
      </c>
      <c r="F140" s="17">
        <f>IF($B140="","",IFERROR(INDEX(Audit_Log!$D$6:$D$405,MATCH($B140,Audit_Log!$A$6:$A$405,0)),""))</f>
        <v/>
      </c>
      <c r="G140" s="30">
        <f>IF($C140="","",IFERROR(INDEX(Checklist!$D$6:$D$20,MATCH($C140,Checklist!$B$6:$B$20,0)),""))</f>
        <v/>
      </c>
      <c r="H140" s="29"/>
      <c r="I140" s="29"/>
      <c r="J140" s="29"/>
      <c r="K140" s="23"/>
      <c r="L140" s="24"/>
      <c r="M140" s="28"/>
      <c r="N140" s="24"/>
      <c r="O140" s="17">
        <f>IF(OR($B140="",$L140="",$M140="Closed"),"",MAX(0,Setup!$C$5-$L140))</f>
        <v/>
      </c>
      <c r="P140" s="17">
        <f>IF($B140="","",IF($M140="Closed","CLOSED",IF($L140="","NO DUE DATE",IF(Setup!$C$5&gt;$L140,"OVERDUE",IF($L140-Setup!$C$5&lt;=7,"DUE SOON","OPEN")))))</f>
        <v/>
      </c>
      <c r="Q140" s="17">
        <f>IF($B140="","",IF($M140="Closed",0,1))</f>
        <v/>
      </c>
    </row>
    <row r="141" spans="1:17">
      <c r="A141" s="17">
        <f>IF($B141="","","F-1136")</f>
        <v/>
      </c>
      <c r="B141" s="28"/>
      <c r="C141" s="28"/>
      <c r="D141" s="8">
        <f>IF($B141="","",IFERROR(INDEX(Audit_Log!$B$6:$B$405,MATCH($B141,Audit_Log!$A$6:$A$405,0)),""))</f>
        <v/>
      </c>
      <c r="E141" s="18">
        <f>IF($B141="","",IFERROR(INDEX(Audit_Log!$C$6:$C$405,MATCH($B141,Audit_Log!$A$6:$A$405,0)),""))</f>
        <v/>
      </c>
      <c r="F141" s="17">
        <f>IF($B141="","",IFERROR(INDEX(Audit_Log!$D$6:$D$405,MATCH($B141,Audit_Log!$A$6:$A$405,0)),""))</f>
        <v/>
      </c>
      <c r="G141" s="30">
        <f>IF($C141="","",IFERROR(INDEX(Checklist!$D$6:$D$20,MATCH($C141,Checklist!$B$6:$B$20,0)),""))</f>
        <v/>
      </c>
      <c r="H141" s="29"/>
      <c r="I141" s="29"/>
      <c r="J141" s="29"/>
      <c r="K141" s="23"/>
      <c r="L141" s="24"/>
      <c r="M141" s="28"/>
      <c r="N141" s="24"/>
      <c r="O141" s="17">
        <f>IF(OR($B141="",$L141="",$M141="Closed"),"",MAX(0,Setup!$C$5-$L141))</f>
        <v/>
      </c>
      <c r="P141" s="17">
        <f>IF($B141="","",IF($M141="Closed","CLOSED",IF($L141="","NO DUE DATE",IF(Setup!$C$5&gt;$L141,"OVERDUE",IF($L141-Setup!$C$5&lt;=7,"DUE SOON","OPEN")))))</f>
        <v/>
      </c>
      <c r="Q141" s="17">
        <f>IF($B141="","",IF($M141="Closed",0,1))</f>
        <v/>
      </c>
    </row>
    <row r="142" spans="1:17">
      <c r="A142" s="17">
        <f>IF($B142="","","F-1137")</f>
        <v/>
      </c>
      <c r="B142" s="28"/>
      <c r="C142" s="28"/>
      <c r="D142" s="8">
        <f>IF($B142="","",IFERROR(INDEX(Audit_Log!$B$6:$B$405,MATCH($B142,Audit_Log!$A$6:$A$405,0)),""))</f>
        <v/>
      </c>
      <c r="E142" s="18">
        <f>IF($B142="","",IFERROR(INDEX(Audit_Log!$C$6:$C$405,MATCH($B142,Audit_Log!$A$6:$A$405,0)),""))</f>
        <v/>
      </c>
      <c r="F142" s="17">
        <f>IF($B142="","",IFERROR(INDEX(Audit_Log!$D$6:$D$405,MATCH($B142,Audit_Log!$A$6:$A$405,0)),""))</f>
        <v/>
      </c>
      <c r="G142" s="30">
        <f>IF($C142="","",IFERROR(INDEX(Checklist!$D$6:$D$20,MATCH($C142,Checklist!$B$6:$B$20,0)),""))</f>
        <v/>
      </c>
      <c r="H142" s="29"/>
      <c r="I142" s="29"/>
      <c r="J142" s="29"/>
      <c r="K142" s="23"/>
      <c r="L142" s="24"/>
      <c r="M142" s="28"/>
      <c r="N142" s="24"/>
      <c r="O142" s="17">
        <f>IF(OR($B142="",$L142="",$M142="Closed"),"",MAX(0,Setup!$C$5-$L142))</f>
        <v/>
      </c>
      <c r="P142" s="17">
        <f>IF($B142="","",IF($M142="Closed","CLOSED",IF($L142="","NO DUE DATE",IF(Setup!$C$5&gt;$L142,"OVERDUE",IF($L142-Setup!$C$5&lt;=7,"DUE SOON","OPEN")))))</f>
        <v/>
      </c>
      <c r="Q142" s="17">
        <f>IF($B142="","",IF($M142="Closed",0,1))</f>
        <v/>
      </c>
    </row>
    <row r="143" spans="1:17">
      <c r="A143" s="17">
        <f>IF($B143="","","F-1138")</f>
        <v/>
      </c>
      <c r="B143" s="28"/>
      <c r="C143" s="28"/>
      <c r="D143" s="8">
        <f>IF($B143="","",IFERROR(INDEX(Audit_Log!$B$6:$B$405,MATCH($B143,Audit_Log!$A$6:$A$405,0)),""))</f>
        <v/>
      </c>
      <c r="E143" s="18">
        <f>IF($B143="","",IFERROR(INDEX(Audit_Log!$C$6:$C$405,MATCH($B143,Audit_Log!$A$6:$A$405,0)),""))</f>
        <v/>
      </c>
      <c r="F143" s="17">
        <f>IF($B143="","",IFERROR(INDEX(Audit_Log!$D$6:$D$405,MATCH($B143,Audit_Log!$A$6:$A$405,0)),""))</f>
        <v/>
      </c>
      <c r="G143" s="30">
        <f>IF($C143="","",IFERROR(INDEX(Checklist!$D$6:$D$20,MATCH($C143,Checklist!$B$6:$B$20,0)),""))</f>
        <v/>
      </c>
      <c r="H143" s="29"/>
      <c r="I143" s="29"/>
      <c r="J143" s="29"/>
      <c r="K143" s="23"/>
      <c r="L143" s="24"/>
      <c r="M143" s="28"/>
      <c r="N143" s="24"/>
      <c r="O143" s="17">
        <f>IF(OR($B143="",$L143="",$M143="Closed"),"",MAX(0,Setup!$C$5-$L143))</f>
        <v/>
      </c>
      <c r="P143" s="17">
        <f>IF($B143="","",IF($M143="Closed","CLOSED",IF($L143="","NO DUE DATE",IF(Setup!$C$5&gt;$L143,"OVERDUE",IF($L143-Setup!$C$5&lt;=7,"DUE SOON","OPEN")))))</f>
        <v/>
      </c>
      <c r="Q143" s="17">
        <f>IF($B143="","",IF($M143="Closed",0,1))</f>
        <v/>
      </c>
    </row>
    <row r="144" spans="1:17">
      <c r="A144" s="17">
        <f>IF($B144="","","F-1139")</f>
        <v/>
      </c>
      <c r="B144" s="28"/>
      <c r="C144" s="28"/>
      <c r="D144" s="8">
        <f>IF($B144="","",IFERROR(INDEX(Audit_Log!$B$6:$B$405,MATCH($B144,Audit_Log!$A$6:$A$405,0)),""))</f>
        <v/>
      </c>
      <c r="E144" s="18">
        <f>IF($B144="","",IFERROR(INDEX(Audit_Log!$C$6:$C$405,MATCH($B144,Audit_Log!$A$6:$A$405,0)),""))</f>
        <v/>
      </c>
      <c r="F144" s="17">
        <f>IF($B144="","",IFERROR(INDEX(Audit_Log!$D$6:$D$405,MATCH($B144,Audit_Log!$A$6:$A$405,0)),""))</f>
        <v/>
      </c>
      <c r="G144" s="30">
        <f>IF($C144="","",IFERROR(INDEX(Checklist!$D$6:$D$20,MATCH($C144,Checklist!$B$6:$B$20,0)),""))</f>
        <v/>
      </c>
      <c r="H144" s="29"/>
      <c r="I144" s="29"/>
      <c r="J144" s="29"/>
      <c r="K144" s="23"/>
      <c r="L144" s="24"/>
      <c r="M144" s="28"/>
      <c r="N144" s="24"/>
      <c r="O144" s="17">
        <f>IF(OR($B144="",$L144="",$M144="Closed"),"",MAX(0,Setup!$C$5-$L144))</f>
        <v/>
      </c>
      <c r="P144" s="17">
        <f>IF($B144="","",IF($M144="Closed","CLOSED",IF($L144="","NO DUE DATE",IF(Setup!$C$5&gt;$L144,"OVERDUE",IF($L144-Setup!$C$5&lt;=7,"DUE SOON","OPEN")))))</f>
        <v/>
      </c>
      <c r="Q144" s="17">
        <f>IF($B144="","",IF($M144="Closed",0,1))</f>
        <v/>
      </c>
    </row>
    <row r="145" spans="1:17">
      <c r="A145" s="17">
        <f>IF($B145="","","F-1140")</f>
        <v/>
      </c>
      <c r="B145" s="28"/>
      <c r="C145" s="28"/>
      <c r="D145" s="8">
        <f>IF($B145="","",IFERROR(INDEX(Audit_Log!$B$6:$B$405,MATCH($B145,Audit_Log!$A$6:$A$405,0)),""))</f>
        <v/>
      </c>
      <c r="E145" s="18">
        <f>IF($B145="","",IFERROR(INDEX(Audit_Log!$C$6:$C$405,MATCH($B145,Audit_Log!$A$6:$A$405,0)),""))</f>
        <v/>
      </c>
      <c r="F145" s="17">
        <f>IF($B145="","",IFERROR(INDEX(Audit_Log!$D$6:$D$405,MATCH($B145,Audit_Log!$A$6:$A$405,0)),""))</f>
        <v/>
      </c>
      <c r="G145" s="30">
        <f>IF($C145="","",IFERROR(INDEX(Checklist!$D$6:$D$20,MATCH($C145,Checklist!$B$6:$B$20,0)),""))</f>
        <v/>
      </c>
      <c r="H145" s="29"/>
      <c r="I145" s="29"/>
      <c r="J145" s="29"/>
      <c r="K145" s="23"/>
      <c r="L145" s="24"/>
      <c r="M145" s="28"/>
      <c r="N145" s="24"/>
      <c r="O145" s="17">
        <f>IF(OR($B145="",$L145="",$M145="Closed"),"",MAX(0,Setup!$C$5-$L145))</f>
        <v/>
      </c>
      <c r="P145" s="17">
        <f>IF($B145="","",IF($M145="Closed","CLOSED",IF($L145="","NO DUE DATE",IF(Setup!$C$5&gt;$L145,"OVERDUE",IF($L145-Setup!$C$5&lt;=7,"DUE SOON","OPEN")))))</f>
        <v/>
      </c>
      <c r="Q145" s="17">
        <f>IF($B145="","",IF($M145="Closed",0,1))</f>
        <v/>
      </c>
    </row>
    <row r="146" spans="1:17">
      <c r="A146" s="17">
        <f>IF($B146="","","F-1141")</f>
        <v/>
      </c>
      <c r="B146" s="28"/>
      <c r="C146" s="28"/>
      <c r="D146" s="8">
        <f>IF($B146="","",IFERROR(INDEX(Audit_Log!$B$6:$B$405,MATCH($B146,Audit_Log!$A$6:$A$405,0)),""))</f>
        <v/>
      </c>
      <c r="E146" s="18">
        <f>IF($B146="","",IFERROR(INDEX(Audit_Log!$C$6:$C$405,MATCH($B146,Audit_Log!$A$6:$A$405,0)),""))</f>
        <v/>
      </c>
      <c r="F146" s="17">
        <f>IF($B146="","",IFERROR(INDEX(Audit_Log!$D$6:$D$405,MATCH($B146,Audit_Log!$A$6:$A$405,0)),""))</f>
        <v/>
      </c>
      <c r="G146" s="30">
        <f>IF($C146="","",IFERROR(INDEX(Checklist!$D$6:$D$20,MATCH($C146,Checklist!$B$6:$B$20,0)),""))</f>
        <v/>
      </c>
      <c r="H146" s="29"/>
      <c r="I146" s="29"/>
      <c r="J146" s="29"/>
      <c r="K146" s="23"/>
      <c r="L146" s="24"/>
      <c r="M146" s="28"/>
      <c r="N146" s="24"/>
      <c r="O146" s="17">
        <f>IF(OR($B146="",$L146="",$M146="Closed"),"",MAX(0,Setup!$C$5-$L146))</f>
        <v/>
      </c>
      <c r="P146" s="17">
        <f>IF($B146="","",IF($M146="Closed","CLOSED",IF($L146="","NO DUE DATE",IF(Setup!$C$5&gt;$L146,"OVERDUE",IF($L146-Setup!$C$5&lt;=7,"DUE SOON","OPEN")))))</f>
        <v/>
      </c>
      <c r="Q146" s="17">
        <f>IF($B146="","",IF($M146="Closed",0,1))</f>
        <v/>
      </c>
    </row>
    <row r="147" spans="1:17">
      <c r="A147" s="17">
        <f>IF($B147="","","F-1142")</f>
        <v/>
      </c>
      <c r="B147" s="28"/>
      <c r="C147" s="28"/>
      <c r="D147" s="8">
        <f>IF($B147="","",IFERROR(INDEX(Audit_Log!$B$6:$B$405,MATCH($B147,Audit_Log!$A$6:$A$405,0)),""))</f>
        <v/>
      </c>
      <c r="E147" s="18">
        <f>IF($B147="","",IFERROR(INDEX(Audit_Log!$C$6:$C$405,MATCH($B147,Audit_Log!$A$6:$A$405,0)),""))</f>
        <v/>
      </c>
      <c r="F147" s="17">
        <f>IF($B147="","",IFERROR(INDEX(Audit_Log!$D$6:$D$405,MATCH($B147,Audit_Log!$A$6:$A$405,0)),""))</f>
        <v/>
      </c>
      <c r="G147" s="30">
        <f>IF($C147="","",IFERROR(INDEX(Checklist!$D$6:$D$20,MATCH($C147,Checklist!$B$6:$B$20,0)),""))</f>
        <v/>
      </c>
      <c r="H147" s="29"/>
      <c r="I147" s="29"/>
      <c r="J147" s="29"/>
      <c r="K147" s="23"/>
      <c r="L147" s="24"/>
      <c r="M147" s="28"/>
      <c r="N147" s="24"/>
      <c r="O147" s="17">
        <f>IF(OR($B147="",$L147="",$M147="Closed"),"",MAX(0,Setup!$C$5-$L147))</f>
        <v/>
      </c>
      <c r="P147" s="17">
        <f>IF($B147="","",IF($M147="Closed","CLOSED",IF($L147="","NO DUE DATE",IF(Setup!$C$5&gt;$L147,"OVERDUE",IF($L147-Setup!$C$5&lt;=7,"DUE SOON","OPEN")))))</f>
        <v/>
      </c>
      <c r="Q147" s="17">
        <f>IF($B147="","",IF($M147="Closed",0,1))</f>
        <v/>
      </c>
    </row>
    <row r="148" spans="1:17">
      <c r="A148" s="17">
        <f>IF($B148="","","F-1143")</f>
        <v/>
      </c>
      <c r="B148" s="28"/>
      <c r="C148" s="28"/>
      <c r="D148" s="8">
        <f>IF($B148="","",IFERROR(INDEX(Audit_Log!$B$6:$B$405,MATCH($B148,Audit_Log!$A$6:$A$405,0)),""))</f>
        <v/>
      </c>
      <c r="E148" s="18">
        <f>IF($B148="","",IFERROR(INDEX(Audit_Log!$C$6:$C$405,MATCH($B148,Audit_Log!$A$6:$A$405,0)),""))</f>
        <v/>
      </c>
      <c r="F148" s="17">
        <f>IF($B148="","",IFERROR(INDEX(Audit_Log!$D$6:$D$405,MATCH($B148,Audit_Log!$A$6:$A$405,0)),""))</f>
        <v/>
      </c>
      <c r="G148" s="30">
        <f>IF($C148="","",IFERROR(INDEX(Checklist!$D$6:$D$20,MATCH($C148,Checklist!$B$6:$B$20,0)),""))</f>
        <v/>
      </c>
      <c r="H148" s="29"/>
      <c r="I148" s="29"/>
      <c r="J148" s="29"/>
      <c r="K148" s="23"/>
      <c r="L148" s="24"/>
      <c r="M148" s="28"/>
      <c r="N148" s="24"/>
      <c r="O148" s="17">
        <f>IF(OR($B148="",$L148="",$M148="Closed"),"",MAX(0,Setup!$C$5-$L148))</f>
        <v/>
      </c>
      <c r="P148" s="17">
        <f>IF($B148="","",IF($M148="Closed","CLOSED",IF($L148="","NO DUE DATE",IF(Setup!$C$5&gt;$L148,"OVERDUE",IF($L148-Setup!$C$5&lt;=7,"DUE SOON","OPEN")))))</f>
        <v/>
      </c>
      <c r="Q148" s="17">
        <f>IF($B148="","",IF($M148="Closed",0,1))</f>
        <v/>
      </c>
    </row>
    <row r="149" spans="1:17">
      <c r="A149" s="17">
        <f>IF($B149="","","F-1144")</f>
        <v/>
      </c>
      <c r="B149" s="28"/>
      <c r="C149" s="28"/>
      <c r="D149" s="8">
        <f>IF($B149="","",IFERROR(INDEX(Audit_Log!$B$6:$B$405,MATCH($B149,Audit_Log!$A$6:$A$405,0)),""))</f>
        <v/>
      </c>
      <c r="E149" s="18">
        <f>IF($B149="","",IFERROR(INDEX(Audit_Log!$C$6:$C$405,MATCH($B149,Audit_Log!$A$6:$A$405,0)),""))</f>
        <v/>
      </c>
      <c r="F149" s="17">
        <f>IF($B149="","",IFERROR(INDEX(Audit_Log!$D$6:$D$405,MATCH($B149,Audit_Log!$A$6:$A$405,0)),""))</f>
        <v/>
      </c>
      <c r="G149" s="30">
        <f>IF($C149="","",IFERROR(INDEX(Checklist!$D$6:$D$20,MATCH($C149,Checklist!$B$6:$B$20,0)),""))</f>
        <v/>
      </c>
      <c r="H149" s="29"/>
      <c r="I149" s="29"/>
      <c r="J149" s="29"/>
      <c r="K149" s="23"/>
      <c r="L149" s="24"/>
      <c r="M149" s="28"/>
      <c r="N149" s="24"/>
      <c r="O149" s="17">
        <f>IF(OR($B149="",$L149="",$M149="Closed"),"",MAX(0,Setup!$C$5-$L149))</f>
        <v/>
      </c>
      <c r="P149" s="17">
        <f>IF($B149="","",IF($M149="Closed","CLOSED",IF($L149="","NO DUE DATE",IF(Setup!$C$5&gt;$L149,"OVERDUE",IF($L149-Setup!$C$5&lt;=7,"DUE SOON","OPEN")))))</f>
        <v/>
      </c>
      <c r="Q149" s="17">
        <f>IF($B149="","",IF($M149="Closed",0,1))</f>
        <v/>
      </c>
    </row>
    <row r="150" spans="1:17">
      <c r="A150" s="17">
        <f>IF($B150="","","F-1145")</f>
        <v/>
      </c>
      <c r="B150" s="28"/>
      <c r="C150" s="28"/>
      <c r="D150" s="8">
        <f>IF($B150="","",IFERROR(INDEX(Audit_Log!$B$6:$B$405,MATCH($B150,Audit_Log!$A$6:$A$405,0)),""))</f>
        <v/>
      </c>
      <c r="E150" s="18">
        <f>IF($B150="","",IFERROR(INDEX(Audit_Log!$C$6:$C$405,MATCH($B150,Audit_Log!$A$6:$A$405,0)),""))</f>
        <v/>
      </c>
      <c r="F150" s="17">
        <f>IF($B150="","",IFERROR(INDEX(Audit_Log!$D$6:$D$405,MATCH($B150,Audit_Log!$A$6:$A$405,0)),""))</f>
        <v/>
      </c>
      <c r="G150" s="30">
        <f>IF($C150="","",IFERROR(INDEX(Checklist!$D$6:$D$20,MATCH($C150,Checklist!$B$6:$B$20,0)),""))</f>
        <v/>
      </c>
      <c r="H150" s="29"/>
      <c r="I150" s="29"/>
      <c r="J150" s="29"/>
      <c r="K150" s="23"/>
      <c r="L150" s="24"/>
      <c r="M150" s="28"/>
      <c r="N150" s="24"/>
      <c r="O150" s="17">
        <f>IF(OR($B150="",$L150="",$M150="Closed"),"",MAX(0,Setup!$C$5-$L150))</f>
        <v/>
      </c>
      <c r="P150" s="17">
        <f>IF($B150="","",IF($M150="Closed","CLOSED",IF($L150="","NO DUE DATE",IF(Setup!$C$5&gt;$L150,"OVERDUE",IF($L150-Setup!$C$5&lt;=7,"DUE SOON","OPEN")))))</f>
        <v/>
      </c>
      <c r="Q150" s="17">
        <f>IF($B150="","",IF($M150="Closed",0,1))</f>
        <v/>
      </c>
    </row>
    <row r="151" spans="1:17">
      <c r="A151" s="17">
        <f>IF($B151="","","F-1146")</f>
        <v/>
      </c>
      <c r="B151" s="28"/>
      <c r="C151" s="28"/>
      <c r="D151" s="8">
        <f>IF($B151="","",IFERROR(INDEX(Audit_Log!$B$6:$B$405,MATCH($B151,Audit_Log!$A$6:$A$405,0)),""))</f>
        <v/>
      </c>
      <c r="E151" s="18">
        <f>IF($B151="","",IFERROR(INDEX(Audit_Log!$C$6:$C$405,MATCH($B151,Audit_Log!$A$6:$A$405,0)),""))</f>
        <v/>
      </c>
      <c r="F151" s="17">
        <f>IF($B151="","",IFERROR(INDEX(Audit_Log!$D$6:$D$405,MATCH($B151,Audit_Log!$A$6:$A$405,0)),""))</f>
        <v/>
      </c>
      <c r="G151" s="30">
        <f>IF($C151="","",IFERROR(INDEX(Checklist!$D$6:$D$20,MATCH($C151,Checklist!$B$6:$B$20,0)),""))</f>
        <v/>
      </c>
      <c r="H151" s="29"/>
      <c r="I151" s="29"/>
      <c r="J151" s="29"/>
      <c r="K151" s="23"/>
      <c r="L151" s="24"/>
      <c r="M151" s="28"/>
      <c r="N151" s="24"/>
      <c r="O151" s="17">
        <f>IF(OR($B151="",$L151="",$M151="Closed"),"",MAX(0,Setup!$C$5-$L151))</f>
        <v/>
      </c>
      <c r="P151" s="17">
        <f>IF($B151="","",IF($M151="Closed","CLOSED",IF($L151="","NO DUE DATE",IF(Setup!$C$5&gt;$L151,"OVERDUE",IF($L151-Setup!$C$5&lt;=7,"DUE SOON","OPEN")))))</f>
        <v/>
      </c>
      <c r="Q151" s="17">
        <f>IF($B151="","",IF($M151="Closed",0,1))</f>
        <v/>
      </c>
    </row>
    <row r="152" spans="1:17">
      <c r="A152" s="17">
        <f>IF($B152="","","F-1147")</f>
        <v/>
      </c>
      <c r="B152" s="28"/>
      <c r="C152" s="28"/>
      <c r="D152" s="8">
        <f>IF($B152="","",IFERROR(INDEX(Audit_Log!$B$6:$B$405,MATCH($B152,Audit_Log!$A$6:$A$405,0)),""))</f>
        <v/>
      </c>
      <c r="E152" s="18">
        <f>IF($B152="","",IFERROR(INDEX(Audit_Log!$C$6:$C$405,MATCH($B152,Audit_Log!$A$6:$A$405,0)),""))</f>
        <v/>
      </c>
      <c r="F152" s="17">
        <f>IF($B152="","",IFERROR(INDEX(Audit_Log!$D$6:$D$405,MATCH($B152,Audit_Log!$A$6:$A$405,0)),""))</f>
        <v/>
      </c>
      <c r="G152" s="30">
        <f>IF($C152="","",IFERROR(INDEX(Checklist!$D$6:$D$20,MATCH($C152,Checklist!$B$6:$B$20,0)),""))</f>
        <v/>
      </c>
      <c r="H152" s="29"/>
      <c r="I152" s="29"/>
      <c r="J152" s="29"/>
      <c r="K152" s="23"/>
      <c r="L152" s="24"/>
      <c r="M152" s="28"/>
      <c r="N152" s="24"/>
      <c r="O152" s="17">
        <f>IF(OR($B152="",$L152="",$M152="Closed"),"",MAX(0,Setup!$C$5-$L152))</f>
        <v/>
      </c>
      <c r="P152" s="17">
        <f>IF($B152="","",IF($M152="Closed","CLOSED",IF($L152="","NO DUE DATE",IF(Setup!$C$5&gt;$L152,"OVERDUE",IF($L152-Setup!$C$5&lt;=7,"DUE SOON","OPEN")))))</f>
        <v/>
      </c>
      <c r="Q152" s="17">
        <f>IF($B152="","",IF($M152="Closed",0,1))</f>
        <v/>
      </c>
    </row>
    <row r="153" spans="1:17">
      <c r="A153" s="17">
        <f>IF($B153="","","F-1148")</f>
        <v/>
      </c>
      <c r="B153" s="28"/>
      <c r="C153" s="28"/>
      <c r="D153" s="8">
        <f>IF($B153="","",IFERROR(INDEX(Audit_Log!$B$6:$B$405,MATCH($B153,Audit_Log!$A$6:$A$405,0)),""))</f>
        <v/>
      </c>
      <c r="E153" s="18">
        <f>IF($B153="","",IFERROR(INDEX(Audit_Log!$C$6:$C$405,MATCH($B153,Audit_Log!$A$6:$A$405,0)),""))</f>
        <v/>
      </c>
      <c r="F153" s="17">
        <f>IF($B153="","",IFERROR(INDEX(Audit_Log!$D$6:$D$405,MATCH($B153,Audit_Log!$A$6:$A$405,0)),""))</f>
        <v/>
      </c>
      <c r="G153" s="30">
        <f>IF($C153="","",IFERROR(INDEX(Checklist!$D$6:$D$20,MATCH($C153,Checklist!$B$6:$B$20,0)),""))</f>
        <v/>
      </c>
      <c r="H153" s="29"/>
      <c r="I153" s="29"/>
      <c r="J153" s="29"/>
      <c r="K153" s="23"/>
      <c r="L153" s="24"/>
      <c r="M153" s="28"/>
      <c r="N153" s="24"/>
      <c r="O153" s="17">
        <f>IF(OR($B153="",$L153="",$M153="Closed"),"",MAX(0,Setup!$C$5-$L153))</f>
        <v/>
      </c>
      <c r="P153" s="17">
        <f>IF($B153="","",IF($M153="Closed","CLOSED",IF($L153="","NO DUE DATE",IF(Setup!$C$5&gt;$L153,"OVERDUE",IF($L153-Setup!$C$5&lt;=7,"DUE SOON","OPEN")))))</f>
        <v/>
      </c>
      <c r="Q153" s="17">
        <f>IF($B153="","",IF($M153="Closed",0,1))</f>
        <v/>
      </c>
    </row>
    <row r="154" spans="1:17">
      <c r="A154" s="17">
        <f>IF($B154="","","F-1149")</f>
        <v/>
      </c>
      <c r="B154" s="28"/>
      <c r="C154" s="28"/>
      <c r="D154" s="8">
        <f>IF($B154="","",IFERROR(INDEX(Audit_Log!$B$6:$B$405,MATCH($B154,Audit_Log!$A$6:$A$405,0)),""))</f>
        <v/>
      </c>
      <c r="E154" s="18">
        <f>IF($B154="","",IFERROR(INDEX(Audit_Log!$C$6:$C$405,MATCH($B154,Audit_Log!$A$6:$A$405,0)),""))</f>
        <v/>
      </c>
      <c r="F154" s="17">
        <f>IF($B154="","",IFERROR(INDEX(Audit_Log!$D$6:$D$405,MATCH($B154,Audit_Log!$A$6:$A$405,0)),""))</f>
        <v/>
      </c>
      <c r="G154" s="30">
        <f>IF($C154="","",IFERROR(INDEX(Checklist!$D$6:$D$20,MATCH($C154,Checklist!$B$6:$B$20,0)),""))</f>
        <v/>
      </c>
      <c r="H154" s="29"/>
      <c r="I154" s="29"/>
      <c r="J154" s="29"/>
      <c r="K154" s="23"/>
      <c r="L154" s="24"/>
      <c r="M154" s="28"/>
      <c r="N154" s="24"/>
      <c r="O154" s="17">
        <f>IF(OR($B154="",$L154="",$M154="Closed"),"",MAX(0,Setup!$C$5-$L154))</f>
        <v/>
      </c>
      <c r="P154" s="17">
        <f>IF($B154="","",IF($M154="Closed","CLOSED",IF($L154="","NO DUE DATE",IF(Setup!$C$5&gt;$L154,"OVERDUE",IF($L154-Setup!$C$5&lt;=7,"DUE SOON","OPEN")))))</f>
        <v/>
      </c>
      <c r="Q154" s="17">
        <f>IF($B154="","",IF($M154="Closed",0,1))</f>
        <v/>
      </c>
    </row>
    <row r="155" spans="1:17">
      <c r="A155" s="17">
        <f>IF($B155="","","F-1150")</f>
        <v/>
      </c>
      <c r="B155" s="28"/>
      <c r="C155" s="28"/>
      <c r="D155" s="8">
        <f>IF($B155="","",IFERROR(INDEX(Audit_Log!$B$6:$B$405,MATCH($B155,Audit_Log!$A$6:$A$405,0)),""))</f>
        <v/>
      </c>
      <c r="E155" s="18">
        <f>IF($B155="","",IFERROR(INDEX(Audit_Log!$C$6:$C$405,MATCH($B155,Audit_Log!$A$6:$A$405,0)),""))</f>
        <v/>
      </c>
      <c r="F155" s="17">
        <f>IF($B155="","",IFERROR(INDEX(Audit_Log!$D$6:$D$405,MATCH($B155,Audit_Log!$A$6:$A$405,0)),""))</f>
        <v/>
      </c>
      <c r="G155" s="30">
        <f>IF($C155="","",IFERROR(INDEX(Checklist!$D$6:$D$20,MATCH($C155,Checklist!$B$6:$B$20,0)),""))</f>
        <v/>
      </c>
      <c r="H155" s="29"/>
      <c r="I155" s="29"/>
      <c r="J155" s="29"/>
      <c r="K155" s="23"/>
      <c r="L155" s="24"/>
      <c r="M155" s="28"/>
      <c r="N155" s="24"/>
      <c r="O155" s="17">
        <f>IF(OR($B155="",$L155="",$M155="Closed"),"",MAX(0,Setup!$C$5-$L155))</f>
        <v/>
      </c>
      <c r="P155" s="17">
        <f>IF($B155="","",IF($M155="Closed","CLOSED",IF($L155="","NO DUE DATE",IF(Setup!$C$5&gt;$L155,"OVERDUE",IF($L155-Setup!$C$5&lt;=7,"DUE SOON","OPEN")))))</f>
        <v/>
      </c>
      <c r="Q155" s="17">
        <f>IF($B155="","",IF($M155="Closed",0,1))</f>
        <v/>
      </c>
    </row>
    <row r="156" spans="1:17">
      <c r="A156" s="17">
        <f>IF($B156="","","F-1151")</f>
        <v/>
      </c>
      <c r="B156" s="28"/>
      <c r="C156" s="28"/>
      <c r="D156" s="8">
        <f>IF($B156="","",IFERROR(INDEX(Audit_Log!$B$6:$B$405,MATCH($B156,Audit_Log!$A$6:$A$405,0)),""))</f>
        <v/>
      </c>
      <c r="E156" s="18">
        <f>IF($B156="","",IFERROR(INDEX(Audit_Log!$C$6:$C$405,MATCH($B156,Audit_Log!$A$6:$A$405,0)),""))</f>
        <v/>
      </c>
      <c r="F156" s="17">
        <f>IF($B156="","",IFERROR(INDEX(Audit_Log!$D$6:$D$405,MATCH($B156,Audit_Log!$A$6:$A$405,0)),""))</f>
        <v/>
      </c>
      <c r="G156" s="30">
        <f>IF($C156="","",IFERROR(INDEX(Checklist!$D$6:$D$20,MATCH($C156,Checklist!$B$6:$B$20,0)),""))</f>
        <v/>
      </c>
      <c r="H156" s="29"/>
      <c r="I156" s="29"/>
      <c r="J156" s="29"/>
      <c r="K156" s="23"/>
      <c r="L156" s="24"/>
      <c r="M156" s="28"/>
      <c r="N156" s="24"/>
      <c r="O156" s="17">
        <f>IF(OR($B156="",$L156="",$M156="Closed"),"",MAX(0,Setup!$C$5-$L156))</f>
        <v/>
      </c>
      <c r="P156" s="17">
        <f>IF($B156="","",IF($M156="Closed","CLOSED",IF($L156="","NO DUE DATE",IF(Setup!$C$5&gt;$L156,"OVERDUE",IF($L156-Setup!$C$5&lt;=7,"DUE SOON","OPEN")))))</f>
        <v/>
      </c>
      <c r="Q156" s="17">
        <f>IF($B156="","",IF($M156="Closed",0,1))</f>
        <v/>
      </c>
    </row>
    <row r="157" spans="1:17">
      <c r="A157" s="17">
        <f>IF($B157="","","F-1152")</f>
        <v/>
      </c>
      <c r="B157" s="28"/>
      <c r="C157" s="28"/>
      <c r="D157" s="8">
        <f>IF($B157="","",IFERROR(INDEX(Audit_Log!$B$6:$B$405,MATCH($B157,Audit_Log!$A$6:$A$405,0)),""))</f>
        <v/>
      </c>
      <c r="E157" s="18">
        <f>IF($B157="","",IFERROR(INDEX(Audit_Log!$C$6:$C$405,MATCH($B157,Audit_Log!$A$6:$A$405,0)),""))</f>
        <v/>
      </c>
      <c r="F157" s="17">
        <f>IF($B157="","",IFERROR(INDEX(Audit_Log!$D$6:$D$405,MATCH($B157,Audit_Log!$A$6:$A$405,0)),""))</f>
        <v/>
      </c>
      <c r="G157" s="30">
        <f>IF($C157="","",IFERROR(INDEX(Checklist!$D$6:$D$20,MATCH($C157,Checklist!$B$6:$B$20,0)),""))</f>
        <v/>
      </c>
      <c r="H157" s="29"/>
      <c r="I157" s="29"/>
      <c r="J157" s="29"/>
      <c r="K157" s="23"/>
      <c r="L157" s="24"/>
      <c r="M157" s="28"/>
      <c r="N157" s="24"/>
      <c r="O157" s="17">
        <f>IF(OR($B157="",$L157="",$M157="Closed"),"",MAX(0,Setup!$C$5-$L157))</f>
        <v/>
      </c>
      <c r="P157" s="17">
        <f>IF($B157="","",IF($M157="Closed","CLOSED",IF($L157="","NO DUE DATE",IF(Setup!$C$5&gt;$L157,"OVERDUE",IF($L157-Setup!$C$5&lt;=7,"DUE SOON","OPEN")))))</f>
        <v/>
      </c>
      <c r="Q157" s="17">
        <f>IF($B157="","",IF($M157="Closed",0,1))</f>
        <v/>
      </c>
    </row>
    <row r="158" spans="1:17">
      <c r="A158" s="17">
        <f>IF($B158="","","F-1153")</f>
        <v/>
      </c>
      <c r="B158" s="28"/>
      <c r="C158" s="28"/>
      <c r="D158" s="8">
        <f>IF($B158="","",IFERROR(INDEX(Audit_Log!$B$6:$B$405,MATCH($B158,Audit_Log!$A$6:$A$405,0)),""))</f>
        <v/>
      </c>
      <c r="E158" s="18">
        <f>IF($B158="","",IFERROR(INDEX(Audit_Log!$C$6:$C$405,MATCH($B158,Audit_Log!$A$6:$A$405,0)),""))</f>
        <v/>
      </c>
      <c r="F158" s="17">
        <f>IF($B158="","",IFERROR(INDEX(Audit_Log!$D$6:$D$405,MATCH($B158,Audit_Log!$A$6:$A$405,0)),""))</f>
        <v/>
      </c>
      <c r="G158" s="30">
        <f>IF($C158="","",IFERROR(INDEX(Checklist!$D$6:$D$20,MATCH($C158,Checklist!$B$6:$B$20,0)),""))</f>
        <v/>
      </c>
      <c r="H158" s="29"/>
      <c r="I158" s="29"/>
      <c r="J158" s="29"/>
      <c r="K158" s="23"/>
      <c r="L158" s="24"/>
      <c r="M158" s="28"/>
      <c r="N158" s="24"/>
      <c r="O158" s="17">
        <f>IF(OR($B158="",$L158="",$M158="Closed"),"",MAX(0,Setup!$C$5-$L158))</f>
        <v/>
      </c>
      <c r="P158" s="17">
        <f>IF($B158="","",IF($M158="Closed","CLOSED",IF($L158="","NO DUE DATE",IF(Setup!$C$5&gt;$L158,"OVERDUE",IF($L158-Setup!$C$5&lt;=7,"DUE SOON","OPEN")))))</f>
        <v/>
      </c>
      <c r="Q158" s="17">
        <f>IF($B158="","",IF($M158="Closed",0,1))</f>
        <v/>
      </c>
    </row>
    <row r="159" spans="1:17">
      <c r="A159" s="17">
        <f>IF($B159="","","F-1154")</f>
        <v/>
      </c>
      <c r="B159" s="28"/>
      <c r="C159" s="28"/>
      <c r="D159" s="8">
        <f>IF($B159="","",IFERROR(INDEX(Audit_Log!$B$6:$B$405,MATCH($B159,Audit_Log!$A$6:$A$405,0)),""))</f>
        <v/>
      </c>
      <c r="E159" s="18">
        <f>IF($B159="","",IFERROR(INDEX(Audit_Log!$C$6:$C$405,MATCH($B159,Audit_Log!$A$6:$A$405,0)),""))</f>
        <v/>
      </c>
      <c r="F159" s="17">
        <f>IF($B159="","",IFERROR(INDEX(Audit_Log!$D$6:$D$405,MATCH($B159,Audit_Log!$A$6:$A$405,0)),""))</f>
        <v/>
      </c>
      <c r="G159" s="30">
        <f>IF($C159="","",IFERROR(INDEX(Checklist!$D$6:$D$20,MATCH($C159,Checklist!$B$6:$B$20,0)),""))</f>
        <v/>
      </c>
      <c r="H159" s="29"/>
      <c r="I159" s="29"/>
      <c r="J159" s="29"/>
      <c r="K159" s="23"/>
      <c r="L159" s="24"/>
      <c r="M159" s="28"/>
      <c r="N159" s="24"/>
      <c r="O159" s="17">
        <f>IF(OR($B159="",$L159="",$M159="Closed"),"",MAX(0,Setup!$C$5-$L159))</f>
        <v/>
      </c>
      <c r="P159" s="17">
        <f>IF($B159="","",IF($M159="Closed","CLOSED",IF($L159="","NO DUE DATE",IF(Setup!$C$5&gt;$L159,"OVERDUE",IF($L159-Setup!$C$5&lt;=7,"DUE SOON","OPEN")))))</f>
        <v/>
      </c>
      <c r="Q159" s="17">
        <f>IF($B159="","",IF($M159="Closed",0,1))</f>
        <v/>
      </c>
    </row>
    <row r="160" spans="1:17">
      <c r="A160" s="17">
        <f>IF($B160="","","F-1155")</f>
        <v/>
      </c>
      <c r="B160" s="28"/>
      <c r="C160" s="28"/>
      <c r="D160" s="8">
        <f>IF($B160="","",IFERROR(INDEX(Audit_Log!$B$6:$B$405,MATCH($B160,Audit_Log!$A$6:$A$405,0)),""))</f>
        <v/>
      </c>
      <c r="E160" s="18">
        <f>IF($B160="","",IFERROR(INDEX(Audit_Log!$C$6:$C$405,MATCH($B160,Audit_Log!$A$6:$A$405,0)),""))</f>
        <v/>
      </c>
      <c r="F160" s="17">
        <f>IF($B160="","",IFERROR(INDEX(Audit_Log!$D$6:$D$405,MATCH($B160,Audit_Log!$A$6:$A$405,0)),""))</f>
        <v/>
      </c>
      <c r="G160" s="30">
        <f>IF($C160="","",IFERROR(INDEX(Checklist!$D$6:$D$20,MATCH($C160,Checklist!$B$6:$B$20,0)),""))</f>
        <v/>
      </c>
      <c r="H160" s="29"/>
      <c r="I160" s="29"/>
      <c r="J160" s="29"/>
      <c r="K160" s="23"/>
      <c r="L160" s="24"/>
      <c r="M160" s="28"/>
      <c r="N160" s="24"/>
      <c r="O160" s="17">
        <f>IF(OR($B160="",$L160="",$M160="Closed"),"",MAX(0,Setup!$C$5-$L160))</f>
        <v/>
      </c>
      <c r="P160" s="17">
        <f>IF($B160="","",IF($M160="Closed","CLOSED",IF($L160="","NO DUE DATE",IF(Setup!$C$5&gt;$L160,"OVERDUE",IF($L160-Setup!$C$5&lt;=7,"DUE SOON","OPEN")))))</f>
        <v/>
      </c>
      <c r="Q160" s="17">
        <f>IF($B160="","",IF($M160="Closed",0,1))</f>
        <v/>
      </c>
    </row>
    <row r="161" spans="1:17">
      <c r="A161" s="17">
        <f>IF($B161="","","F-1156")</f>
        <v/>
      </c>
      <c r="B161" s="28"/>
      <c r="C161" s="28"/>
      <c r="D161" s="8">
        <f>IF($B161="","",IFERROR(INDEX(Audit_Log!$B$6:$B$405,MATCH($B161,Audit_Log!$A$6:$A$405,0)),""))</f>
        <v/>
      </c>
      <c r="E161" s="18">
        <f>IF($B161="","",IFERROR(INDEX(Audit_Log!$C$6:$C$405,MATCH($B161,Audit_Log!$A$6:$A$405,0)),""))</f>
        <v/>
      </c>
      <c r="F161" s="17">
        <f>IF($B161="","",IFERROR(INDEX(Audit_Log!$D$6:$D$405,MATCH($B161,Audit_Log!$A$6:$A$405,0)),""))</f>
        <v/>
      </c>
      <c r="G161" s="30">
        <f>IF($C161="","",IFERROR(INDEX(Checklist!$D$6:$D$20,MATCH($C161,Checklist!$B$6:$B$20,0)),""))</f>
        <v/>
      </c>
      <c r="H161" s="29"/>
      <c r="I161" s="29"/>
      <c r="J161" s="29"/>
      <c r="K161" s="23"/>
      <c r="L161" s="24"/>
      <c r="M161" s="28"/>
      <c r="N161" s="24"/>
      <c r="O161" s="17">
        <f>IF(OR($B161="",$L161="",$M161="Closed"),"",MAX(0,Setup!$C$5-$L161))</f>
        <v/>
      </c>
      <c r="P161" s="17">
        <f>IF($B161="","",IF($M161="Closed","CLOSED",IF($L161="","NO DUE DATE",IF(Setup!$C$5&gt;$L161,"OVERDUE",IF($L161-Setup!$C$5&lt;=7,"DUE SOON","OPEN")))))</f>
        <v/>
      </c>
      <c r="Q161" s="17">
        <f>IF($B161="","",IF($M161="Closed",0,1))</f>
        <v/>
      </c>
    </row>
    <row r="162" spans="1:17">
      <c r="A162" s="17">
        <f>IF($B162="","","F-1157")</f>
        <v/>
      </c>
      <c r="B162" s="28"/>
      <c r="C162" s="28"/>
      <c r="D162" s="8">
        <f>IF($B162="","",IFERROR(INDEX(Audit_Log!$B$6:$B$405,MATCH($B162,Audit_Log!$A$6:$A$405,0)),""))</f>
        <v/>
      </c>
      <c r="E162" s="18">
        <f>IF($B162="","",IFERROR(INDEX(Audit_Log!$C$6:$C$405,MATCH($B162,Audit_Log!$A$6:$A$405,0)),""))</f>
        <v/>
      </c>
      <c r="F162" s="17">
        <f>IF($B162="","",IFERROR(INDEX(Audit_Log!$D$6:$D$405,MATCH($B162,Audit_Log!$A$6:$A$405,0)),""))</f>
        <v/>
      </c>
      <c r="G162" s="30">
        <f>IF($C162="","",IFERROR(INDEX(Checklist!$D$6:$D$20,MATCH($C162,Checklist!$B$6:$B$20,0)),""))</f>
        <v/>
      </c>
      <c r="H162" s="29"/>
      <c r="I162" s="29"/>
      <c r="J162" s="29"/>
      <c r="K162" s="23"/>
      <c r="L162" s="24"/>
      <c r="M162" s="28"/>
      <c r="N162" s="24"/>
      <c r="O162" s="17">
        <f>IF(OR($B162="",$L162="",$M162="Closed"),"",MAX(0,Setup!$C$5-$L162))</f>
        <v/>
      </c>
      <c r="P162" s="17">
        <f>IF($B162="","",IF($M162="Closed","CLOSED",IF($L162="","NO DUE DATE",IF(Setup!$C$5&gt;$L162,"OVERDUE",IF($L162-Setup!$C$5&lt;=7,"DUE SOON","OPEN")))))</f>
        <v/>
      </c>
      <c r="Q162" s="17">
        <f>IF($B162="","",IF($M162="Closed",0,1))</f>
        <v/>
      </c>
    </row>
    <row r="163" spans="1:17">
      <c r="A163" s="17">
        <f>IF($B163="","","F-1158")</f>
        <v/>
      </c>
      <c r="B163" s="28"/>
      <c r="C163" s="28"/>
      <c r="D163" s="8">
        <f>IF($B163="","",IFERROR(INDEX(Audit_Log!$B$6:$B$405,MATCH($B163,Audit_Log!$A$6:$A$405,0)),""))</f>
        <v/>
      </c>
      <c r="E163" s="18">
        <f>IF($B163="","",IFERROR(INDEX(Audit_Log!$C$6:$C$405,MATCH($B163,Audit_Log!$A$6:$A$405,0)),""))</f>
        <v/>
      </c>
      <c r="F163" s="17">
        <f>IF($B163="","",IFERROR(INDEX(Audit_Log!$D$6:$D$405,MATCH($B163,Audit_Log!$A$6:$A$405,0)),""))</f>
        <v/>
      </c>
      <c r="G163" s="30">
        <f>IF($C163="","",IFERROR(INDEX(Checklist!$D$6:$D$20,MATCH($C163,Checklist!$B$6:$B$20,0)),""))</f>
        <v/>
      </c>
      <c r="H163" s="29"/>
      <c r="I163" s="29"/>
      <c r="J163" s="29"/>
      <c r="K163" s="23"/>
      <c r="L163" s="24"/>
      <c r="M163" s="28"/>
      <c r="N163" s="24"/>
      <c r="O163" s="17">
        <f>IF(OR($B163="",$L163="",$M163="Closed"),"",MAX(0,Setup!$C$5-$L163))</f>
        <v/>
      </c>
      <c r="P163" s="17">
        <f>IF($B163="","",IF($M163="Closed","CLOSED",IF($L163="","NO DUE DATE",IF(Setup!$C$5&gt;$L163,"OVERDUE",IF($L163-Setup!$C$5&lt;=7,"DUE SOON","OPEN")))))</f>
        <v/>
      </c>
      <c r="Q163" s="17">
        <f>IF($B163="","",IF($M163="Closed",0,1))</f>
        <v/>
      </c>
    </row>
    <row r="164" spans="1:17">
      <c r="A164" s="17">
        <f>IF($B164="","","F-1159")</f>
        <v/>
      </c>
      <c r="B164" s="28"/>
      <c r="C164" s="28"/>
      <c r="D164" s="8">
        <f>IF($B164="","",IFERROR(INDEX(Audit_Log!$B$6:$B$405,MATCH($B164,Audit_Log!$A$6:$A$405,0)),""))</f>
        <v/>
      </c>
      <c r="E164" s="18">
        <f>IF($B164="","",IFERROR(INDEX(Audit_Log!$C$6:$C$405,MATCH($B164,Audit_Log!$A$6:$A$405,0)),""))</f>
        <v/>
      </c>
      <c r="F164" s="17">
        <f>IF($B164="","",IFERROR(INDEX(Audit_Log!$D$6:$D$405,MATCH($B164,Audit_Log!$A$6:$A$405,0)),""))</f>
        <v/>
      </c>
      <c r="G164" s="30">
        <f>IF($C164="","",IFERROR(INDEX(Checklist!$D$6:$D$20,MATCH($C164,Checklist!$B$6:$B$20,0)),""))</f>
        <v/>
      </c>
      <c r="H164" s="29"/>
      <c r="I164" s="29"/>
      <c r="J164" s="29"/>
      <c r="K164" s="23"/>
      <c r="L164" s="24"/>
      <c r="M164" s="28"/>
      <c r="N164" s="24"/>
      <c r="O164" s="17">
        <f>IF(OR($B164="",$L164="",$M164="Closed"),"",MAX(0,Setup!$C$5-$L164))</f>
        <v/>
      </c>
      <c r="P164" s="17">
        <f>IF($B164="","",IF($M164="Closed","CLOSED",IF($L164="","NO DUE DATE",IF(Setup!$C$5&gt;$L164,"OVERDUE",IF($L164-Setup!$C$5&lt;=7,"DUE SOON","OPEN")))))</f>
        <v/>
      </c>
      <c r="Q164" s="17">
        <f>IF($B164="","",IF($M164="Closed",0,1))</f>
        <v/>
      </c>
    </row>
    <row r="165" spans="1:17">
      <c r="A165" s="17">
        <f>IF($B165="","","F-1160")</f>
        <v/>
      </c>
      <c r="B165" s="28"/>
      <c r="C165" s="28"/>
      <c r="D165" s="8">
        <f>IF($B165="","",IFERROR(INDEX(Audit_Log!$B$6:$B$405,MATCH($B165,Audit_Log!$A$6:$A$405,0)),""))</f>
        <v/>
      </c>
      <c r="E165" s="18">
        <f>IF($B165="","",IFERROR(INDEX(Audit_Log!$C$6:$C$405,MATCH($B165,Audit_Log!$A$6:$A$405,0)),""))</f>
        <v/>
      </c>
      <c r="F165" s="17">
        <f>IF($B165="","",IFERROR(INDEX(Audit_Log!$D$6:$D$405,MATCH($B165,Audit_Log!$A$6:$A$405,0)),""))</f>
        <v/>
      </c>
      <c r="G165" s="30">
        <f>IF($C165="","",IFERROR(INDEX(Checklist!$D$6:$D$20,MATCH($C165,Checklist!$B$6:$B$20,0)),""))</f>
        <v/>
      </c>
      <c r="H165" s="29"/>
      <c r="I165" s="29"/>
      <c r="J165" s="29"/>
      <c r="K165" s="23"/>
      <c r="L165" s="24"/>
      <c r="M165" s="28"/>
      <c r="N165" s="24"/>
      <c r="O165" s="17">
        <f>IF(OR($B165="",$L165="",$M165="Closed"),"",MAX(0,Setup!$C$5-$L165))</f>
        <v/>
      </c>
      <c r="P165" s="17">
        <f>IF($B165="","",IF($M165="Closed","CLOSED",IF($L165="","NO DUE DATE",IF(Setup!$C$5&gt;$L165,"OVERDUE",IF($L165-Setup!$C$5&lt;=7,"DUE SOON","OPEN")))))</f>
        <v/>
      </c>
      <c r="Q165" s="17">
        <f>IF($B165="","",IF($M165="Closed",0,1))</f>
        <v/>
      </c>
    </row>
    <row r="166" spans="1:17">
      <c r="A166" s="17">
        <f>IF($B166="","","F-1161")</f>
        <v/>
      </c>
      <c r="B166" s="28"/>
      <c r="C166" s="28"/>
      <c r="D166" s="8">
        <f>IF($B166="","",IFERROR(INDEX(Audit_Log!$B$6:$B$405,MATCH($B166,Audit_Log!$A$6:$A$405,0)),""))</f>
        <v/>
      </c>
      <c r="E166" s="18">
        <f>IF($B166="","",IFERROR(INDEX(Audit_Log!$C$6:$C$405,MATCH($B166,Audit_Log!$A$6:$A$405,0)),""))</f>
        <v/>
      </c>
      <c r="F166" s="17">
        <f>IF($B166="","",IFERROR(INDEX(Audit_Log!$D$6:$D$405,MATCH($B166,Audit_Log!$A$6:$A$405,0)),""))</f>
        <v/>
      </c>
      <c r="G166" s="30">
        <f>IF($C166="","",IFERROR(INDEX(Checklist!$D$6:$D$20,MATCH($C166,Checklist!$B$6:$B$20,0)),""))</f>
        <v/>
      </c>
      <c r="H166" s="29"/>
      <c r="I166" s="29"/>
      <c r="J166" s="29"/>
      <c r="K166" s="23"/>
      <c r="L166" s="24"/>
      <c r="M166" s="28"/>
      <c r="N166" s="24"/>
      <c r="O166" s="17">
        <f>IF(OR($B166="",$L166="",$M166="Closed"),"",MAX(0,Setup!$C$5-$L166))</f>
        <v/>
      </c>
      <c r="P166" s="17">
        <f>IF($B166="","",IF($M166="Closed","CLOSED",IF($L166="","NO DUE DATE",IF(Setup!$C$5&gt;$L166,"OVERDUE",IF($L166-Setup!$C$5&lt;=7,"DUE SOON","OPEN")))))</f>
        <v/>
      </c>
      <c r="Q166" s="17">
        <f>IF($B166="","",IF($M166="Closed",0,1))</f>
        <v/>
      </c>
    </row>
    <row r="167" spans="1:17">
      <c r="A167" s="17">
        <f>IF($B167="","","F-1162")</f>
        <v/>
      </c>
      <c r="B167" s="28"/>
      <c r="C167" s="28"/>
      <c r="D167" s="8">
        <f>IF($B167="","",IFERROR(INDEX(Audit_Log!$B$6:$B$405,MATCH($B167,Audit_Log!$A$6:$A$405,0)),""))</f>
        <v/>
      </c>
      <c r="E167" s="18">
        <f>IF($B167="","",IFERROR(INDEX(Audit_Log!$C$6:$C$405,MATCH($B167,Audit_Log!$A$6:$A$405,0)),""))</f>
        <v/>
      </c>
      <c r="F167" s="17">
        <f>IF($B167="","",IFERROR(INDEX(Audit_Log!$D$6:$D$405,MATCH($B167,Audit_Log!$A$6:$A$405,0)),""))</f>
        <v/>
      </c>
      <c r="G167" s="30">
        <f>IF($C167="","",IFERROR(INDEX(Checklist!$D$6:$D$20,MATCH($C167,Checklist!$B$6:$B$20,0)),""))</f>
        <v/>
      </c>
      <c r="H167" s="29"/>
      <c r="I167" s="29"/>
      <c r="J167" s="29"/>
      <c r="K167" s="23"/>
      <c r="L167" s="24"/>
      <c r="M167" s="28"/>
      <c r="N167" s="24"/>
      <c r="O167" s="17">
        <f>IF(OR($B167="",$L167="",$M167="Closed"),"",MAX(0,Setup!$C$5-$L167))</f>
        <v/>
      </c>
      <c r="P167" s="17">
        <f>IF($B167="","",IF($M167="Closed","CLOSED",IF($L167="","NO DUE DATE",IF(Setup!$C$5&gt;$L167,"OVERDUE",IF($L167-Setup!$C$5&lt;=7,"DUE SOON","OPEN")))))</f>
        <v/>
      </c>
      <c r="Q167" s="17">
        <f>IF($B167="","",IF($M167="Closed",0,1))</f>
        <v/>
      </c>
    </row>
    <row r="168" spans="1:17">
      <c r="A168" s="17">
        <f>IF($B168="","","F-1163")</f>
        <v/>
      </c>
      <c r="B168" s="28"/>
      <c r="C168" s="28"/>
      <c r="D168" s="8">
        <f>IF($B168="","",IFERROR(INDEX(Audit_Log!$B$6:$B$405,MATCH($B168,Audit_Log!$A$6:$A$405,0)),""))</f>
        <v/>
      </c>
      <c r="E168" s="18">
        <f>IF($B168="","",IFERROR(INDEX(Audit_Log!$C$6:$C$405,MATCH($B168,Audit_Log!$A$6:$A$405,0)),""))</f>
        <v/>
      </c>
      <c r="F168" s="17">
        <f>IF($B168="","",IFERROR(INDEX(Audit_Log!$D$6:$D$405,MATCH($B168,Audit_Log!$A$6:$A$405,0)),""))</f>
        <v/>
      </c>
      <c r="G168" s="30">
        <f>IF($C168="","",IFERROR(INDEX(Checklist!$D$6:$D$20,MATCH($C168,Checklist!$B$6:$B$20,0)),""))</f>
        <v/>
      </c>
      <c r="H168" s="29"/>
      <c r="I168" s="29"/>
      <c r="J168" s="29"/>
      <c r="K168" s="23"/>
      <c r="L168" s="24"/>
      <c r="M168" s="28"/>
      <c r="N168" s="24"/>
      <c r="O168" s="17">
        <f>IF(OR($B168="",$L168="",$M168="Closed"),"",MAX(0,Setup!$C$5-$L168))</f>
        <v/>
      </c>
      <c r="P168" s="17">
        <f>IF($B168="","",IF($M168="Closed","CLOSED",IF($L168="","NO DUE DATE",IF(Setup!$C$5&gt;$L168,"OVERDUE",IF($L168-Setup!$C$5&lt;=7,"DUE SOON","OPEN")))))</f>
        <v/>
      </c>
      <c r="Q168" s="17">
        <f>IF($B168="","",IF($M168="Closed",0,1))</f>
        <v/>
      </c>
    </row>
    <row r="169" spans="1:17">
      <c r="A169" s="17">
        <f>IF($B169="","","F-1164")</f>
        <v/>
      </c>
      <c r="B169" s="28"/>
      <c r="C169" s="28"/>
      <c r="D169" s="8">
        <f>IF($B169="","",IFERROR(INDEX(Audit_Log!$B$6:$B$405,MATCH($B169,Audit_Log!$A$6:$A$405,0)),""))</f>
        <v/>
      </c>
      <c r="E169" s="18">
        <f>IF($B169="","",IFERROR(INDEX(Audit_Log!$C$6:$C$405,MATCH($B169,Audit_Log!$A$6:$A$405,0)),""))</f>
        <v/>
      </c>
      <c r="F169" s="17">
        <f>IF($B169="","",IFERROR(INDEX(Audit_Log!$D$6:$D$405,MATCH($B169,Audit_Log!$A$6:$A$405,0)),""))</f>
        <v/>
      </c>
      <c r="G169" s="30">
        <f>IF($C169="","",IFERROR(INDEX(Checklist!$D$6:$D$20,MATCH($C169,Checklist!$B$6:$B$20,0)),""))</f>
        <v/>
      </c>
      <c r="H169" s="29"/>
      <c r="I169" s="29"/>
      <c r="J169" s="29"/>
      <c r="K169" s="23"/>
      <c r="L169" s="24"/>
      <c r="M169" s="28"/>
      <c r="N169" s="24"/>
      <c r="O169" s="17">
        <f>IF(OR($B169="",$L169="",$M169="Closed"),"",MAX(0,Setup!$C$5-$L169))</f>
        <v/>
      </c>
      <c r="P169" s="17">
        <f>IF($B169="","",IF($M169="Closed","CLOSED",IF($L169="","NO DUE DATE",IF(Setup!$C$5&gt;$L169,"OVERDUE",IF($L169-Setup!$C$5&lt;=7,"DUE SOON","OPEN")))))</f>
        <v/>
      </c>
      <c r="Q169" s="17">
        <f>IF($B169="","",IF($M169="Closed",0,1))</f>
        <v/>
      </c>
    </row>
    <row r="170" spans="1:17">
      <c r="A170" s="17">
        <f>IF($B170="","","F-1165")</f>
        <v/>
      </c>
      <c r="B170" s="28"/>
      <c r="C170" s="28"/>
      <c r="D170" s="8">
        <f>IF($B170="","",IFERROR(INDEX(Audit_Log!$B$6:$B$405,MATCH($B170,Audit_Log!$A$6:$A$405,0)),""))</f>
        <v/>
      </c>
      <c r="E170" s="18">
        <f>IF($B170="","",IFERROR(INDEX(Audit_Log!$C$6:$C$405,MATCH($B170,Audit_Log!$A$6:$A$405,0)),""))</f>
        <v/>
      </c>
      <c r="F170" s="17">
        <f>IF($B170="","",IFERROR(INDEX(Audit_Log!$D$6:$D$405,MATCH($B170,Audit_Log!$A$6:$A$405,0)),""))</f>
        <v/>
      </c>
      <c r="G170" s="30">
        <f>IF($C170="","",IFERROR(INDEX(Checklist!$D$6:$D$20,MATCH($C170,Checklist!$B$6:$B$20,0)),""))</f>
        <v/>
      </c>
      <c r="H170" s="29"/>
      <c r="I170" s="29"/>
      <c r="J170" s="29"/>
      <c r="K170" s="23"/>
      <c r="L170" s="24"/>
      <c r="M170" s="28"/>
      <c r="N170" s="24"/>
      <c r="O170" s="17">
        <f>IF(OR($B170="",$L170="",$M170="Closed"),"",MAX(0,Setup!$C$5-$L170))</f>
        <v/>
      </c>
      <c r="P170" s="17">
        <f>IF($B170="","",IF($M170="Closed","CLOSED",IF($L170="","NO DUE DATE",IF(Setup!$C$5&gt;$L170,"OVERDUE",IF($L170-Setup!$C$5&lt;=7,"DUE SOON","OPEN")))))</f>
        <v/>
      </c>
      <c r="Q170" s="17">
        <f>IF($B170="","",IF($M170="Closed",0,1))</f>
        <v/>
      </c>
    </row>
    <row r="171" spans="1:17">
      <c r="A171" s="17">
        <f>IF($B171="","","F-1166")</f>
        <v/>
      </c>
      <c r="B171" s="28"/>
      <c r="C171" s="28"/>
      <c r="D171" s="8">
        <f>IF($B171="","",IFERROR(INDEX(Audit_Log!$B$6:$B$405,MATCH($B171,Audit_Log!$A$6:$A$405,0)),""))</f>
        <v/>
      </c>
      <c r="E171" s="18">
        <f>IF($B171="","",IFERROR(INDEX(Audit_Log!$C$6:$C$405,MATCH($B171,Audit_Log!$A$6:$A$405,0)),""))</f>
        <v/>
      </c>
      <c r="F171" s="17">
        <f>IF($B171="","",IFERROR(INDEX(Audit_Log!$D$6:$D$405,MATCH($B171,Audit_Log!$A$6:$A$405,0)),""))</f>
        <v/>
      </c>
      <c r="G171" s="30">
        <f>IF($C171="","",IFERROR(INDEX(Checklist!$D$6:$D$20,MATCH($C171,Checklist!$B$6:$B$20,0)),""))</f>
        <v/>
      </c>
      <c r="H171" s="29"/>
      <c r="I171" s="29"/>
      <c r="J171" s="29"/>
      <c r="K171" s="23"/>
      <c r="L171" s="24"/>
      <c r="M171" s="28"/>
      <c r="N171" s="24"/>
      <c r="O171" s="17">
        <f>IF(OR($B171="",$L171="",$M171="Closed"),"",MAX(0,Setup!$C$5-$L171))</f>
        <v/>
      </c>
      <c r="P171" s="17">
        <f>IF($B171="","",IF($M171="Closed","CLOSED",IF($L171="","NO DUE DATE",IF(Setup!$C$5&gt;$L171,"OVERDUE",IF($L171-Setup!$C$5&lt;=7,"DUE SOON","OPEN")))))</f>
        <v/>
      </c>
      <c r="Q171" s="17">
        <f>IF($B171="","",IF($M171="Closed",0,1))</f>
        <v/>
      </c>
    </row>
    <row r="172" spans="1:17">
      <c r="A172" s="17">
        <f>IF($B172="","","F-1167")</f>
        <v/>
      </c>
      <c r="B172" s="28"/>
      <c r="C172" s="28"/>
      <c r="D172" s="8">
        <f>IF($B172="","",IFERROR(INDEX(Audit_Log!$B$6:$B$405,MATCH($B172,Audit_Log!$A$6:$A$405,0)),""))</f>
        <v/>
      </c>
      <c r="E172" s="18">
        <f>IF($B172="","",IFERROR(INDEX(Audit_Log!$C$6:$C$405,MATCH($B172,Audit_Log!$A$6:$A$405,0)),""))</f>
        <v/>
      </c>
      <c r="F172" s="17">
        <f>IF($B172="","",IFERROR(INDEX(Audit_Log!$D$6:$D$405,MATCH($B172,Audit_Log!$A$6:$A$405,0)),""))</f>
        <v/>
      </c>
      <c r="G172" s="30">
        <f>IF($C172="","",IFERROR(INDEX(Checklist!$D$6:$D$20,MATCH($C172,Checklist!$B$6:$B$20,0)),""))</f>
        <v/>
      </c>
      <c r="H172" s="29"/>
      <c r="I172" s="29"/>
      <c r="J172" s="29"/>
      <c r="K172" s="23"/>
      <c r="L172" s="24"/>
      <c r="M172" s="28"/>
      <c r="N172" s="24"/>
      <c r="O172" s="17">
        <f>IF(OR($B172="",$L172="",$M172="Closed"),"",MAX(0,Setup!$C$5-$L172))</f>
        <v/>
      </c>
      <c r="P172" s="17">
        <f>IF($B172="","",IF($M172="Closed","CLOSED",IF($L172="","NO DUE DATE",IF(Setup!$C$5&gt;$L172,"OVERDUE",IF($L172-Setup!$C$5&lt;=7,"DUE SOON","OPEN")))))</f>
        <v/>
      </c>
      <c r="Q172" s="17">
        <f>IF($B172="","",IF($M172="Closed",0,1))</f>
        <v/>
      </c>
    </row>
    <row r="173" spans="1:17">
      <c r="A173" s="17">
        <f>IF($B173="","","F-1168")</f>
        <v/>
      </c>
      <c r="B173" s="28"/>
      <c r="C173" s="28"/>
      <c r="D173" s="8">
        <f>IF($B173="","",IFERROR(INDEX(Audit_Log!$B$6:$B$405,MATCH($B173,Audit_Log!$A$6:$A$405,0)),""))</f>
        <v/>
      </c>
      <c r="E173" s="18">
        <f>IF($B173="","",IFERROR(INDEX(Audit_Log!$C$6:$C$405,MATCH($B173,Audit_Log!$A$6:$A$405,0)),""))</f>
        <v/>
      </c>
      <c r="F173" s="17">
        <f>IF($B173="","",IFERROR(INDEX(Audit_Log!$D$6:$D$405,MATCH($B173,Audit_Log!$A$6:$A$405,0)),""))</f>
        <v/>
      </c>
      <c r="G173" s="30">
        <f>IF($C173="","",IFERROR(INDEX(Checklist!$D$6:$D$20,MATCH($C173,Checklist!$B$6:$B$20,0)),""))</f>
        <v/>
      </c>
      <c r="H173" s="29"/>
      <c r="I173" s="29"/>
      <c r="J173" s="29"/>
      <c r="K173" s="23"/>
      <c r="L173" s="24"/>
      <c r="M173" s="28"/>
      <c r="N173" s="24"/>
      <c r="O173" s="17">
        <f>IF(OR($B173="",$L173="",$M173="Closed"),"",MAX(0,Setup!$C$5-$L173))</f>
        <v/>
      </c>
      <c r="P173" s="17">
        <f>IF($B173="","",IF($M173="Closed","CLOSED",IF($L173="","NO DUE DATE",IF(Setup!$C$5&gt;$L173,"OVERDUE",IF($L173-Setup!$C$5&lt;=7,"DUE SOON","OPEN")))))</f>
        <v/>
      </c>
      <c r="Q173" s="17">
        <f>IF($B173="","",IF($M173="Closed",0,1))</f>
        <v/>
      </c>
    </row>
    <row r="174" spans="1:17">
      <c r="A174" s="17">
        <f>IF($B174="","","F-1169")</f>
        <v/>
      </c>
      <c r="B174" s="28"/>
      <c r="C174" s="28"/>
      <c r="D174" s="8">
        <f>IF($B174="","",IFERROR(INDEX(Audit_Log!$B$6:$B$405,MATCH($B174,Audit_Log!$A$6:$A$405,0)),""))</f>
        <v/>
      </c>
      <c r="E174" s="18">
        <f>IF($B174="","",IFERROR(INDEX(Audit_Log!$C$6:$C$405,MATCH($B174,Audit_Log!$A$6:$A$405,0)),""))</f>
        <v/>
      </c>
      <c r="F174" s="17">
        <f>IF($B174="","",IFERROR(INDEX(Audit_Log!$D$6:$D$405,MATCH($B174,Audit_Log!$A$6:$A$405,0)),""))</f>
        <v/>
      </c>
      <c r="G174" s="30">
        <f>IF($C174="","",IFERROR(INDEX(Checklist!$D$6:$D$20,MATCH($C174,Checklist!$B$6:$B$20,0)),""))</f>
        <v/>
      </c>
      <c r="H174" s="29"/>
      <c r="I174" s="29"/>
      <c r="J174" s="29"/>
      <c r="K174" s="23"/>
      <c r="L174" s="24"/>
      <c r="M174" s="28"/>
      <c r="N174" s="24"/>
      <c r="O174" s="17">
        <f>IF(OR($B174="",$L174="",$M174="Closed"),"",MAX(0,Setup!$C$5-$L174))</f>
        <v/>
      </c>
      <c r="P174" s="17">
        <f>IF($B174="","",IF($M174="Closed","CLOSED",IF($L174="","NO DUE DATE",IF(Setup!$C$5&gt;$L174,"OVERDUE",IF($L174-Setup!$C$5&lt;=7,"DUE SOON","OPEN")))))</f>
        <v/>
      </c>
      <c r="Q174" s="17">
        <f>IF($B174="","",IF($M174="Closed",0,1))</f>
        <v/>
      </c>
    </row>
    <row r="175" spans="1:17">
      <c r="A175" s="17">
        <f>IF($B175="","","F-1170")</f>
        <v/>
      </c>
      <c r="B175" s="28"/>
      <c r="C175" s="28"/>
      <c r="D175" s="8">
        <f>IF($B175="","",IFERROR(INDEX(Audit_Log!$B$6:$B$405,MATCH($B175,Audit_Log!$A$6:$A$405,0)),""))</f>
        <v/>
      </c>
      <c r="E175" s="18">
        <f>IF($B175="","",IFERROR(INDEX(Audit_Log!$C$6:$C$405,MATCH($B175,Audit_Log!$A$6:$A$405,0)),""))</f>
        <v/>
      </c>
      <c r="F175" s="17">
        <f>IF($B175="","",IFERROR(INDEX(Audit_Log!$D$6:$D$405,MATCH($B175,Audit_Log!$A$6:$A$405,0)),""))</f>
        <v/>
      </c>
      <c r="G175" s="30">
        <f>IF($C175="","",IFERROR(INDEX(Checklist!$D$6:$D$20,MATCH($C175,Checklist!$B$6:$B$20,0)),""))</f>
        <v/>
      </c>
      <c r="H175" s="29"/>
      <c r="I175" s="29"/>
      <c r="J175" s="29"/>
      <c r="K175" s="23"/>
      <c r="L175" s="24"/>
      <c r="M175" s="28"/>
      <c r="N175" s="24"/>
      <c r="O175" s="17">
        <f>IF(OR($B175="",$L175="",$M175="Closed"),"",MAX(0,Setup!$C$5-$L175))</f>
        <v/>
      </c>
      <c r="P175" s="17">
        <f>IF($B175="","",IF($M175="Closed","CLOSED",IF($L175="","NO DUE DATE",IF(Setup!$C$5&gt;$L175,"OVERDUE",IF($L175-Setup!$C$5&lt;=7,"DUE SOON","OPEN")))))</f>
        <v/>
      </c>
      <c r="Q175" s="17">
        <f>IF($B175="","",IF($M175="Closed",0,1))</f>
        <v/>
      </c>
    </row>
    <row r="176" spans="1:17">
      <c r="A176" s="17">
        <f>IF($B176="","","F-1171")</f>
        <v/>
      </c>
      <c r="B176" s="28"/>
      <c r="C176" s="28"/>
      <c r="D176" s="8">
        <f>IF($B176="","",IFERROR(INDEX(Audit_Log!$B$6:$B$405,MATCH($B176,Audit_Log!$A$6:$A$405,0)),""))</f>
        <v/>
      </c>
      <c r="E176" s="18">
        <f>IF($B176="","",IFERROR(INDEX(Audit_Log!$C$6:$C$405,MATCH($B176,Audit_Log!$A$6:$A$405,0)),""))</f>
        <v/>
      </c>
      <c r="F176" s="17">
        <f>IF($B176="","",IFERROR(INDEX(Audit_Log!$D$6:$D$405,MATCH($B176,Audit_Log!$A$6:$A$405,0)),""))</f>
        <v/>
      </c>
      <c r="G176" s="30">
        <f>IF($C176="","",IFERROR(INDEX(Checklist!$D$6:$D$20,MATCH($C176,Checklist!$B$6:$B$20,0)),""))</f>
        <v/>
      </c>
      <c r="H176" s="29"/>
      <c r="I176" s="29"/>
      <c r="J176" s="29"/>
      <c r="K176" s="23"/>
      <c r="L176" s="24"/>
      <c r="M176" s="28"/>
      <c r="N176" s="24"/>
      <c r="O176" s="17">
        <f>IF(OR($B176="",$L176="",$M176="Closed"),"",MAX(0,Setup!$C$5-$L176))</f>
        <v/>
      </c>
      <c r="P176" s="17">
        <f>IF($B176="","",IF($M176="Closed","CLOSED",IF($L176="","NO DUE DATE",IF(Setup!$C$5&gt;$L176,"OVERDUE",IF($L176-Setup!$C$5&lt;=7,"DUE SOON","OPEN")))))</f>
        <v/>
      </c>
      <c r="Q176" s="17">
        <f>IF($B176="","",IF($M176="Closed",0,1))</f>
        <v/>
      </c>
    </row>
    <row r="177" spans="1:17">
      <c r="A177" s="17">
        <f>IF($B177="","","F-1172")</f>
        <v/>
      </c>
      <c r="B177" s="28"/>
      <c r="C177" s="28"/>
      <c r="D177" s="8">
        <f>IF($B177="","",IFERROR(INDEX(Audit_Log!$B$6:$B$405,MATCH($B177,Audit_Log!$A$6:$A$405,0)),""))</f>
        <v/>
      </c>
      <c r="E177" s="18">
        <f>IF($B177="","",IFERROR(INDEX(Audit_Log!$C$6:$C$405,MATCH($B177,Audit_Log!$A$6:$A$405,0)),""))</f>
        <v/>
      </c>
      <c r="F177" s="17">
        <f>IF($B177="","",IFERROR(INDEX(Audit_Log!$D$6:$D$405,MATCH($B177,Audit_Log!$A$6:$A$405,0)),""))</f>
        <v/>
      </c>
      <c r="G177" s="30">
        <f>IF($C177="","",IFERROR(INDEX(Checklist!$D$6:$D$20,MATCH($C177,Checklist!$B$6:$B$20,0)),""))</f>
        <v/>
      </c>
      <c r="H177" s="29"/>
      <c r="I177" s="29"/>
      <c r="J177" s="29"/>
      <c r="K177" s="23"/>
      <c r="L177" s="24"/>
      <c r="M177" s="28"/>
      <c r="N177" s="24"/>
      <c r="O177" s="17">
        <f>IF(OR($B177="",$L177="",$M177="Closed"),"",MAX(0,Setup!$C$5-$L177))</f>
        <v/>
      </c>
      <c r="P177" s="17">
        <f>IF($B177="","",IF($M177="Closed","CLOSED",IF($L177="","NO DUE DATE",IF(Setup!$C$5&gt;$L177,"OVERDUE",IF($L177-Setup!$C$5&lt;=7,"DUE SOON","OPEN")))))</f>
        <v/>
      </c>
      <c r="Q177" s="17">
        <f>IF($B177="","",IF($M177="Closed",0,1))</f>
        <v/>
      </c>
    </row>
    <row r="178" spans="1:17">
      <c r="A178" s="17">
        <f>IF($B178="","","F-1173")</f>
        <v/>
      </c>
      <c r="B178" s="28"/>
      <c r="C178" s="28"/>
      <c r="D178" s="8">
        <f>IF($B178="","",IFERROR(INDEX(Audit_Log!$B$6:$B$405,MATCH($B178,Audit_Log!$A$6:$A$405,0)),""))</f>
        <v/>
      </c>
      <c r="E178" s="18">
        <f>IF($B178="","",IFERROR(INDEX(Audit_Log!$C$6:$C$405,MATCH($B178,Audit_Log!$A$6:$A$405,0)),""))</f>
        <v/>
      </c>
      <c r="F178" s="17">
        <f>IF($B178="","",IFERROR(INDEX(Audit_Log!$D$6:$D$405,MATCH($B178,Audit_Log!$A$6:$A$405,0)),""))</f>
        <v/>
      </c>
      <c r="G178" s="30">
        <f>IF($C178="","",IFERROR(INDEX(Checklist!$D$6:$D$20,MATCH($C178,Checklist!$B$6:$B$20,0)),""))</f>
        <v/>
      </c>
      <c r="H178" s="29"/>
      <c r="I178" s="29"/>
      <c r="J178" s="29"/>
      <c r="K178" s="23"/>
      <c r="L178" s="24"/>
      <c r="M178" s="28"/>
      <c r="N178" s="24"/>
      <c r="O178" s="17">
        <f>IF(OR($B178="",$L178="",$M178="Closed"),"",MAX(0,Setup!$C$5-$L178))</f>
        <v/>
      </c>
      <c r="P178" s="17">
        <f>IF($B178="","",IF($M178="Closed","CLOSED",IF($L178="","NO DUE DATE",IF(Setup!$C$5&gt;$L178,"OVERDUE",IF($L178-Setup!$C$5&lt;=7,"DUE SOON","OPEN")))))</f>
        <v/>
      </c>
      <c r="Q178" s="17">
        <f>IF($B178="","",IF($M178="Closed",0,1))</f>
        <v/>
      </c>
    </row>
    <row r="179" spans="1:17">
      <c r="A179" s="17">
        <f>IF($B179="","","F-1174")</f>
        <v/>
      </c>
      <c r="B179" s="28"/>
      <c r="C179" s="28"/>
      <c r="D179" s="8">
        <f>IF($B179="","",IFERROR(INDEX(Audit_Log!$B$6:$B$405,MATCH($B179,Audit_Log!$A$6:$A$405,0)),""))</f>
        <v/>
      </c>
      <c r="E179" s="18">
        <f>IF($B179="","",IFERROR(INDEX(Audit_Log!$C$6:$C$405,MATCH($B179,Audit_Log!$A$6:$A$405,0)),""))</f>
        <v/>
      </c>
      <c r="F179" s="17">
        <f>IF($B179="","",IFERROR(INDEX(Audit_Log!$D$6:$D$405,MATCH($B179,Audit_Log!$A$6:$A$405,0)),""))</f>
        <v/>
      </c>
      <c r="G179" s="30">
        <f>IF($C179="","",IFERROR(INDEX(Checklist!$D$6:$D$20,MATCH($C179,Checklist!$B$6:$B$20,0)),""))</f>
        <v/>
      </c>
      <c r="H179" s="29"/>
      <c r="I179" s="29"/>
      <c r="J179" s="29"/>
      <c r="K179" s="23"/>
      <c r="L179" s="24"/>
      <c r="M179" s="28"/>
      <c r="N179" s="24"/>
      <c r="O179" s="17">
        <f>IF(OR($B179="",$L179="",$M179="Closed"),"",MAX(0,Setup!$C$5-$L179))</f>
        <v/>
      </c>
      <c r="P179" s="17">
        <f>IF($B179="","",IF($M179="Closed","CLOSED",IF($L179="","NO DUE DATE",IF(Setup!$C$5&gt;$L179,"OVERDUE",IF($L179-Setup!$C$5&lt;=7,"DUE SOON","OPEN")))))</f>
        <v/>
      </c>
      <c r="Q179" s="17">
        <f>IF($B179="","",IF($M179="Closed",0,1))</f>
        <v/>
      </c>
    </row>
    <row r="180" spans="1:17">
      <c r="A180" s="17">
        <f>IF($B180="","","F-1175")</f>
        <v/>
      </c>
      <c r="B180" s="28"/>
      <c r="C180" s="28"/>
      <c r="D180" s="8">
        <f>IF($B180="","",IFERROR(INDEX(Audit_Log!$B$6:$B$405,MATCH($B180,Audit_Log!$A$6:$A$405,0)),""))</f>
        <v/>
      </c>
      <c r="E180" s="18">
        <f>IF($B180="","",IFERROR(INDEX(Audit_Log!$C$6:$C$405,MATCH($B180,Audit_Log!$A$6:$A$405,0)),""))</f>
        <v/>
      </c>
      <c r="F180" s="17">
        <f>IF($B180="","",IFERROR(INDEX(Audit_Log!$D$6:$D$405,MATCH($B180,Audit_Log!$A$6:$A$405,0)),""))</f>
        <v/>
      </c>
      <c r="G180" s="30">
        <f>IF($C180="","",IFERROR(INDEX(Checklist!$D$6:$D$20,MATCH($C180,Checklist!$B$6:$B$20,0)),""))</f>
        <v/>
      </c>
      <c r="H180" s="29"/>
      <c r="I180" s="29"/>
      <c r="J180" s="29"/>
      <c r="K180" s="23"/>
      <c r="L180" s="24"/>
      <c r="M180" s="28"/>
      <c r="N180" s="24"/>
      <c r="O180" s="17">
        <f>IF(OR($B180="",$L180="",$M180="Closed"),"",MAX(0,Setup!$C$5-$L180))</f>
        <v/>
      </c>
      <c r="P180" s="17">
        <f>IF($B180="","",IF($M180="Closed","CLOSED",IF($L180="","NO DUE DATE",IF(Setup!$C$5&gt;$L180,"OVERDUE",IF($L180-Setup!$C$5&lt;=7,"DUE SOON","OPEN")))))</f>
        <v/>
      </c>
      <c r="Q180" s="17">
        <f>IF($B180="","",IF($M180="Closed",0,1))</f>
        <v/>
      </c>
    </row>
    <row r="181" spans="1:17">
      <c r="A181" s="17">
        <f>IF($B181="","","F-1176")</f>
        <v/>
      </c>
      <c r="B181" s="28"/>
      <c r="C181" s="28"/>
      <c r="D181" s="8">
        <f>IF($B181="","",IFERROR(INDEX(Audit_Log!$B$6:$B$405,MATCH($B181,Audit_Log!$A$6:$A$405,0)),""))</f>
        <v/>
      </c>
      <c r="E181" s="18">
        <f>IF($B181="","",IFERROR(INDEX(Audit_Log!$C$6:$C$405,MATCH($B181,Audit_Log!$A$6:$A$405,0)),""))</f>
        <v/>
      </c>
      <c r="F181" s="17">
        <f>IF($B181="","",IFERROR(INDEX(Audit_Log!$D$6:$D$405,MATCH($B181,Audit_Log!$A$6:$A$405,0)),""))</f>
        <v/>
      </c>
      <c r="G181" s="30">
        <f>IF($C181="","",IFERROR(INDEX(Checklist!$D$6:$D$20,MATCH($C181,Checklist!$B$6:$B$20,0)),""))</f>
        <v/>
      </c>
      <c r="H181" s="29"/>
      <c r="I181" s="29"/>
      <c r="J181" s="29"/>
      <c r="K181" s="23"/>
      <c r="L181" s="24"/>
      <c r="M181" s="28"/>
      <c r="N181" s="24"/>
      <c r="O181" s="17">
        <f>IF(OR($B181="",$L181="",$M181="Closed"),"",MAX(0,Setup!$C$5-$L181))</f>
        <v/>
      </c>
      <c r="P181" s="17">
        <f>IF($B181="","",IF($M181="Closed","CLOSED",IF($L181="","NO DUE DATE",IF(Setup!$C$5&gt;$L181,"OVERDUE",IF($L181-Setup!$C$5&lt;=7,"DUE SOON","OPEN")))))</f>
        <v/>
      </c>
      <c r="Q181" s="17">
        <f>IF($B181="","",IF($M181="Closed",0,1))</f>
        <v/>
      </c>
    </row>
    <row r="182" spans="1:17">
      <c r="A182" s="17">
        <f>IF($B182="","","F-1177")</f>
        <v/>
      </c>
      <c r="B182" s="28"/>
      <c r="C182" s="28"/>
      <c r="D182" s="8">
        <f>IF($B182="","",IFERROR(INDEX(Audit_Log!$B$6:$B$405,MATCH($B182,Audit_Log!$A$6:$A$405,0)),""))</f>
        <v/>
      </c>
      <c r="E182" s="18">
        <f>IF($B182="","",IFERROR(INDEX(Audit_Log!$C$6:$C$405,MATCH($B182,Audit_Log!$A$6:$A$405,0)),""))</f>
        <v/>
      </c>
      <c r="F182" s="17">
        <f>IF($B182="","",IFERROR(INDEX(Audit_Log!$D$6:$D$405,MATCH($B182,Audit_Log!$A$6:$A$405,0)),""))</f>
        <v/>
      </c>
      <c r="G182" s="30">
        <f>IF($C182="","",IFERROR(INDEX(Checklist!$D$6:$D$20,MATCH($C182,Checklist!$B$6:$B$20,0)),""))</f>
        <v/>
      </c>
      <c r="H182" s="29"/>
      <c r="I182" s="29"/>
      <c r="J182" s="29"/>
      <c r="K182" s="23"/>
      <c r="L182" s="24"/>
      <c r="M182" s="28"/>
      <c r="N182" s="24"/>
      <c r="O182" s="17">
        <f>IF(OR($B182="",$L182="",$M182="Closed"),"",MAX(0,Setup!$C$5-$L182))</f>
        <v/>
      </c>
      <c r="P182" s="17">
        <f>IF($B182="","",IF($M182="Closed","CLOSED",IF($L182="","NO DUE DATE",IF(Setup!$C$5&gt;$L182,"OVERDUE",IF($L182-Setup!$C$5&lt;=7,"DUE SOON","OPEN")))))</f>
        <v/>
      </c>
      <c r="Q182" s="17">
        <f>IF($B182="","",IF($M182="Closed",0,1))</f>
        <v/>
      </c>
    </row>
    <row r="183" spans="1:17">
      <c r="A183" s="17">
        <f>IF($B183="","","F-1178")</f>
        <v/>
      </c>
      <c r="B183" s="28"/>
      <c r="C183" s="28"/>
      <c r="D183" s="8">
        <f>IF($B183="","",IFERROR(INDEX(Audit_Log!$B$6:$B$405,MATCH($B183,Audit_Log!$A$6:$A$405,0)),""))</f>
        <v/>
      </c>
      <c r="E183" s="18">
        <f>IF($B183="","",IFERROR(INDEX(Audit_Log!$C$6:$C$405,MATCH($B183,Audit_Log!$A$6:$A$405,0)),""))</f>
        <v/>
      </c>
      <c r="F183" s="17">
        <f>IF($B183="","",IFERROR(INDEX(Audit_Log!$D$6:$D$405,MATCH($B183,Audit_Log!$A$6:$A$405,0)),""))</f>
        <v/>
      </c>
      <c r="G183" s="30">
        <f>IF($C183="","",IFERROR(INDEX(Checklist!$D$6:$D$20,MATCH($C183,Checklist!$B$6:$B$20,0)),""))</f>
        <v/>
      </c>
      <c r="H183" s="29"/>
      <c r="I183" s="29"/>
      <c r="J183" s="29"/>
      <c r="K183" s="23"/>
      <c r="L183" s="24"/>
      <c r="M183" s="28"/>
      <c r="N183" s="24"/>
      <c r="O183" s="17">
        <f>IF(OR($B183="",$L183="",$M183="Closed"),"",MAX(0,Setup!$C$5-$L183))</f>
        <v/>
      </c>
      <c r="P183" s="17">
        <f>IF($B183="","",IF($M183="Closed","CLOSED",IF($L183="","NO DUE DATE",IF(Setup!$C$5&gt;$L183,"OVERDUE",IF($L183-Setup!$C$5&lt;=7,"DUE SOON","OPEN")))))</f>
        <v/>
      </c>
      <c r="Q183" s="17">
        <f>IF($B183="","",IF($M183="Closed",0,1))</f>
        <v/>
      </c>
    </row>
    <row r="184" spans="1:17">
      <c r="A184" s="17">
        <f>IF($B184="","","F-1179")</f>
        <v/>
      </c>
      <c r="B184" s="28"/>
      <c r="C184" s="28"/>
      <c r="D184" s="8">
        <f>IF($B184="","",IFERROR(INDEX(Audit_Log!$B$6:$B$405,MATCH($B184,Audit_Log!$A$6:$A$405,0)),""))</f>
        <v/>
      </c>
      <c r="E184" s="18">
        <f>IF($B184="","",IFERROR(INDEX(Audit_Log!$C$6:$C$405,MATCH($B184,Audit_Log!$A$6:$A$405,0)),""))</f>
        <v/>
      </c>
      <c r="F184" s="17">
        <f>IF($B184="","",IFERROR(INDEX(Audit_Log!$D$6:$D$405,MATCH($B184,Audit_Log!$A$6:$A$405,0)),""))</f>
        <v/>
      </c>
      <c r="G184" s="30">
        <f>IF($C184="","",IFERROR(INDEX(Checklist!$D$6:$D$20,MATCH($C184,Checklist!$B$6:$B$20,0)),""))</f>
        <v/>
      </c>
      <c r="H184" s="29"/>
      <c r="I184" s="29"/>
      <c r="J184" s="29"/>
      <c r="K184" s="23"/>
      <c r="L184" s="24"/>
      <c r="M184" s="28"/>
      <c r="N184" s="24"/>
      <c r="O184" s="17">
        <f>IF(OR($B184="",$L184="",$M184="Closed"),"",MAX(0,Setup!$C$5-$L184))</f>
        <v/>
      </c>
      <c r="P184" s="17">
        <f>IF($B184="","",IF($M184="Closed","CLOSED",IF($L184="","NO DUE DATE",IF(Setup!$C$5&gt;$L184,"OVERDUE",IF($L184-Setup!$C$5&lt;=7,"DUE SOON","OPEN")))))</f>
        <v/>
      </c>
      <c r="Q184" s="17">
        <f>IF($B184="","",IF($M184="Closed",0,1))</f>
        <v/>
      </c>
    </row>
    <row r="185" spans="1:17">
      <c r="A185" s="17">
        <f>IF($B185="","","F-1180")</f>
        <v/>
      </c>
      <c r="B185" s="28"/>
      <c r="C185" s="28"/>
      <c r="D185" s="8">
        <f>IF($B185="","",IFERROR(INDEX(Audit_Log!$B$6:$B$405,MATCH($B185,Audit_Log!$A$6:$A$405,0)),""))</f>
        <v/>
      </c>
      <c r="E185" s="18">
        <f>IF($B185="","",IFERROR(INDEX(Audit_Log!$C$6:$C$405,MATCH($B185,Audit_Log!$A$6:$A$405,0)),""))</f>
        <v/>
      </c>
      <c r="F185" s="17">
        <f>IF($B185="","",IFERROR(INDEX(Audit_Log!$D$6:$D$405,MATCH($B185,Audit_Log!$A$6:$A$405,0)),""))</f>
        <v/>
      </c>
      <c r="G185" s="30">
        <f>IF($C185="","",IFERROR(INDEX(Checklist!$D$6:$D$20,MATCH($C185,Checklist!$B$6:$B$20,0)),""))</f>
        <v/>
      </c>
      <c r="H185" s="29"/>
      <c r="I185" s="29"/>
      <c r="J185" s="29"/>
      <c r="K185" s="23"/>
      <c r="L185" s="24"/>
      <c r="M185" s="28"/>
      <c r="N185" s="24"/>
      <c r="O185" s="17">
        <f>IF(OR($B185="",$L185="",$M185="Closed"),"",MAX(0,Setup!$C$5-$L185))</f>
        <v/>
      </c>
      <c r="P185" s="17">
        <f>IF($B185="","",IF($M185="Closed","CLOSED",IF($L185="","NO DUE DATE",IF(Setup!$C$5&gt;$L185,"OVERDUE",IF($L185-Setup!$C$5&lt;=7,"DUE SOON","OPEN")))))</f>
        <v/>
      </c>
      <c r="Q185" s="17">
        <f>IF($B185="","",IF($M185="Closed",0,1))</f>
        <v/>
      </c>
    </row>
    <row r="186" spans="1:17">
      <c r="A186" s="17">
        <f>IF($B186="","","F-1181")</f>
        <v/>
      </c>
      <c r="B186" s="28"/>
      <c r="C186" s="28"/>
      <c r="D186" s="8">
        <f>IF($B186="","",IFERROR(INDEX(Audit_Log!$B$6:$B$405,MATCH($B186,Audit_Log!$A$6:$A$405,0)),""))</f>
        <v/>
      </c>
      <c r="E186" s="18">
        <f>IF($B186="","",IFERROR(INDEX(Audit_Log!$C$6:$C$405,MATCH($B186,Audit_Log!$A$6:$A$405,0)),""))</f>
        <v/>
      </c>
      <c r="F186" s="17">
        <f>IF($B186="","",IFERROR(INDEX(Audit_Log!$D$6:$D$405,MATCH($B186,Audit_Log!$A$6:$A$405,0)),""))</f>
        <v/>
      </c>
      <c r="G186" s="30">
        <f>IF($C186="","",IFERROR(INDEX(Checklist!$D$6:$D$20,MATCH($C186,Checklist!$B$6:$B$20,0)),""))</f>
        <v/>
      </c>
      <c r="H186" s="29"/>
      <c r="I186" s="29"/>
      <c r="J186" s="29"/>
      <c r="K186" s="23"/>
      <c r="L186" s="24"/>
      <c r="M186" s="28"/>
      <c r="N186" s="24"/>
      <c r="O186" s="17">
        <f>IF(OR($B186="",$L186="",$M186="Closed"),"",MAX(0,Setup!$C$5-$L186))</f>
        <v/>
      </c>
      <c r="P186" s="17">
        <f>IF($B186="","",IF($M186="Closed","CLOSED",IF($L186="","NO DUE DATE",IF(Setup!$C$5&gt;$L186,"OVERDUE",IF($L186-Setup!$C$5&lt;=7,"DUE SOON","OPEN")))))</f>
        <v/>
      </c>
      <c r="Q186" s="17">
        <f>IF($B186="","",IF($M186="Closed",0,1))</f>
        <v/>
      </c>
    </row>
    <row r="187" spans="1:17">
      <c r="A187" s="17">
        <f>IF($B187="","","F-1182")</f>
        <v/>
      </c>
      <c r="B187" s="28"/>
      <c r="C187" s="28"/>
      <c r="D187" s="8">
        <f>IF($B187="","",IFERROR(INDEX(Audit_Log!$B$6:$B$405,MATCH($B187,Audit_Log!$A$6:$A$405,0)),""))</f>
        <v/>
      </c>
      <c r="E187" s="18">
        <f>IF($B187="","",IFERROR(INDEX(Audit_Log!$C$6:$C$405,MATCH($B187,Audit_Log!$A$6:$A$405,0)),""))</f>
        <v/>
      </c>
      <c r="F187" s="17">
        <f>IF($B187="","",IFERROR(INDEX(Audit_Log!$D$6:$D$405,MATCH($B187,Audit_Log!$A$6:$A$405,0)),""))</f>
        <v/>
      </c>
      <c r="G187" s="30">
        <f>IF($C187="","",IFERROR(INDEX(Checklist!$D$6:$D$20,MATCH($C187,Checklist!$B$6:$B$20,0)),""))</f>
        <v/>
      </c>
      <c r="H187" s="29"/>
      <c r="I187" s="29"/>
      <c r="J187" s="29"/>
      <c r="K187" s="23"/>
      <c r="L187" s="24"/>
      <c r="M187" s="28"/>
      <c r="N187" s="24"/>
      <c r="O187" s="17">
        <f>IF(OR($B187="",$L187="",$M187="Closed"),"",MAX(0,Setup!$C$5-$L187))</f>
        <v/>
      </c>
      <c r="P187" s="17">
        <f>IF($B187="","",IF($M187="Closed","CLOSED",IF($L187="","NO DUE DATE",IF(Setup!$C$5&gt;$L187,"OVERDUE",IF($L187-Setup!$C$5&lt;=7,"DUE SOON","OPEN")))))</f>
        <v/>
      </c>
      <c r="Q187" s="17">
        <f>IF($B187="","",IF($M187="Closed",0,1))</f>
        <v/>
      </c>
    </row>
    <row r="188" spans="1:17">
      <c r="A188" s="17">
        <f>IF($B188="","","F-1183")</f>
        <v/>
      </c>
      <c r="B188" s="28"/>
      <c r="C188" s="28"/>
      <c r="D188" s="8">
        <f>IF($B188="","",IFERROR(INDEX(Audit_Log!$B$6:$B$405,MATCH($B188,Audit_Log!$A$6:$A$405,0)),""))</f>
        <v/>
      </c>
      <c r="E188" s="18">
        <f>IF($B188="","",IFERROR(INDEX(Audit_Log!$C$6:$C$405,MATCH($B188,Audit_Log!$A$6:$A$405,0)),""))</f>
        <v/>
      </c>
      <c r="F188" s="17">
        <f>IF($B188="","",IFERROR(INDEX(Audit_Log!$D$6:$D$405,MATCH($B188,Audit_Log!$A$6:$A$405,0)),""))</f>
        <v/>
      </c>
      <c r="G188" s="30">
        <f>IF($C188="","",IFERROR(INDEX(Checklist!$D$6:$D$20,MATCH($C188,Checklist!$B$6:$B$20,0)),""))</f>
        <v/>
      </c>
      <c r="H188" s="29"/>
      <c r="I188" s="29"/>
      <c r="J188" s="29"/>
      <c r="K188" s="23"/>
      <c r="L188" s="24"/>
      <c r="M188" s="28"/>
      <c r="N188" s="24"/>
      <c r="O188" s="17">
        <f>IF(OR($B188="",$L188="",$M188="Closed"),"",MAX(0,Setup!$C$5-$L188))</f>
        <v/>
      </c>
      <c r="P188" s="17">
        <f>IF($B188="","",IF($M188="Closed","CLOSED",IF($L188="","NO DUE DATE",IF(Setup!$C$5&gt;$L188,"OVERDUE",IF($L188-Setup!$C$5&lt;=7,"DUE SOON","OPEN")))))</f>
        <v/>
      </c>
      <c r="Q188" s="17">
        <f>IF($B188="","",IF($M188="Closed",0,1))</f>
        <v/>
      </c>
    </row>
    <row r="189" spans="1:17">
      <c r="A189" s="17">
        <f>IF($B189="","","F-1184")</f>
        <v/>
      </c>
      <c r="B189" s="28"/>
      <c r="C189" s="28"/>
      <c r="D189" s="8">
        <f>IF($B189="","",IFERROR(INDEX(Audit_Log!$B$6:$B$405,MATCH($B189,Audit_Log!$A$6:$A$405,0)),""))</f>
        <v/>
      </c>
      <c r="E189" s="18">
        <f>IF($B189="","",IFERROR(INDEX(Audit_Log!$C$6:$C$405,MATCH($B189,Audit_Log!$A$6:$A$405,0)),""))</f>
        <v/>
      </c>
      <c r="F189" s="17">
        <f>IF($B189="","",IFERROR(INDEX(Audit_Log!$D$6:$D$405,MATCH($B189,Audit_Log!$A$6:$A$405,0)),""))</f>
        <v/>
      </c>
      <c r="G189" s="30">
        <f>IF($C189="","",IFERROR(INDEX(Checklist!$D$6:$D$20,MATCH($C189,Checklist!$B$6:$B$20,0)),""))</f>
        <v/>
      </c>
      <c r="H189" s="29"/>
      <c r="I189" s="29"/>
      <c r="J189" s="29"/>
      <c r="K189" s="23"/>
      <c r="L189" s="24"/>
      <c r="M189" s="28"/>
      <c r="N189" s="24"/>
      <c r="O189" s="17">
        <f>IF(OR($B189="",$L189="",$M189="Closed"),"",MAX(0,Setup!$C$5-$L189))</f>
        <v/>
      </c>
      <c r="P189" s="17">
        <f>IF($B189="","",IF($M189="Closed","CLOSED",IF($L189="","NO DUE DATE",IF(Setup!$C$5&gt;$L189,"OVERDUE",IF($L189-Setup!$C$5&lt;=7,"DUE SOON","OPEN")))))</f>
        <v/>
      </c>
      <c r="Q189" s="17">
        <f>IF($B189="","",IF($M189="Closed",0,1))</f>
        <v/>
      </c>
    </row>
    <row r="190" spans="1:17">
      <c r="A190" s="17">
        <f>IF($B190="","","F-1185")</f>
        <v/>
      </c>
      <c r="B190" s="28"/>
      <c r="C190" s="28"/>
      <c r="D190" s="8">
        <f>IF($B190="","",IFERROR(INDEX(Audit_Log!$B$6:$B$405,MATCH($B190,Audit_Log!$A$6:$A$405,0)),""))</f>
        <v/>
      </c>
      <c r="E190" s="18">
        <f>IF($B190="","",IFERROR(INDEX(Audit_Log!$C$6:$C$405,MATCH($B190,Audit_Log!$A$6:$A$405,0)),""))</f>
        <v/>
      </c>
      <c r="F190" s="17">
        <f>IF($B190="","",IFERROR(INDEX(Audit_Log!$D$6:$D$405,MATCH($B190,Audit_Log!$A$6:$A$405,0)),""))</f>
        <v/>
      </c>
      <c r="G190" s="30">
        <f>IF($C190="","",IFERROR(INDEX(Checklist!$D$6:$D$20,MATCH($C190,Checklist!$B$6:$B$20,0)),""))</f>
        <v/>
      </c>
      <c r="H190" s="29"/>
      <c r="I190" s="29"/>
      <c r="J190" s="29"/>
      <c r="K190" s="23"/>
      <c r="L190" s="24"/>
      <c r="M190" s="28"/>
      <c r="N190" s="24"/>
      <c r="O190" s="17">
        <f>IF(OR($B190="",$L190="",$M190="Closed"),"",MAX(0,Setup!$C$5-$L190))</f>
        <v/>
      </c>
      <c r="P190" s="17">
        <f>IF($B190="","",IF($M190="Closed","CLOSED",IF($L190="","NO DUE DATE",IF(Setup!$C$5&gt;$L190,"OVERDUE",IF($L190-Setup!$C$5&lt;=7,"DUE SOON","OPEN")))))</f>
        <v/>
      </c>
      <c r="Q190" s="17">
        <f>IF($B190="","",IF($M190="Closed",0,1))</f>
        <v/>
      </c>
    </row>
    <row r="191" spans="1:17">
      <c r="A191" s="17">
        <f>IF($B191="","","F-1186")</f>
        <v/>
      </c>
      <c r="B191" s="28"/>
      <c r="C191" s="28"/>
      <c r="D191" s="8">
        <f>IF($B191="","",IFERROR(INDEX(Audit_Log!$B$6:$B$405,MATCH($B191,Audit_Log!$A$6:$A$405,0)),""))</f>
        <v/>
      </c>
      <c r="E191" s="18">
        <f>IF($B191="","",IFERROR(INDEX(Audit_Log!$C$6:$C$405,MATCH($B191,Audit_Log!$A$6:$A$405,0)),""))</f>
        <v/>
      </c>
      <c r="F191" s="17">
        <f>IF($B191="","",IFERROR(INDEX(Audit_Log!$D$6:$D$405,MATCH($B191,Audit_Log!$A$6:$A$405,0)),""))</f>
        <v/>
      </c>
      <c r="G191" s="30">
        <f>IF($C191="","",IFERROR(INDEX(Checklist!$D$6:$D$20,MATCH($C191,Checklist!$B$6:$B$20,0)),""))</f>
        <v/>
      </c>
      <c r="H191" s="29"/>
      <c r="I191" s="29"/>
      <c r="J191" s="29"/>
      <c r="K191" s="23"/>
      <c r="L191" s="24"/>
      <c r="M191" s="28"/>
      <c r="N191" s="24"/>
      <c r="O191" s="17">
        <f>IF(OR($B191="",$L191="",$M191="Closed"),"",MAX(0,Setup!$C$5-$L191))</f>
        <v/>
      </c>
      <c r="P191" s="17">
        <f>IF($B191="","",IF($M191="Closed","CLOSED",IF($L191="","NO DUE DATE",IF(Setup!$C$5&gt;$L191,"OVERDUE",IF($L191-Setup!$C$5&lt;=7,"DUE SOON","OPEN")))))</f>
        <v/>
      </c>
      <c r="Q191" s="17">
        <f>IF($B191="","",IF($M191="Closed",0,1))</f>
        <v/>
      </c>
    </row>
    <row r="192" spans="1:17">
      <c r="A192" s="17">
        <f>IF($B192="","","F-1187")</f>
        <v/>
      </c>
      <c r="B192" s="28"/>
      <c r="C192" s="28"/>
      <c r="D192" s="8">
        <f>IF($B192="","",IFERROR(INDEX(Audit_Log!$B$6:$B$405,MATCH($B192,Audit_Log!$A$6:$A$405,0)),""))</f>
        <v/>
      </c>
      <c r="E192" s="18">
        <f>IF($B192="","",IFERROR(INDEX(Audit_Log!$C$6:$C$405,MATCH($B192,Audit_Log!$A$6:$A$405,0)),""))</f>
        <v/>
      </c>
      <c r="F192" s="17">
        <f>IF($B192="","",IFERROR(INDEX(Audit_Log!$D$6:$D$405,MATCH($B192,Audit_Log!$A$6:$A$405,0)),""))</f>
        <v/>
      </c>
      <c r="G192" s="30">
        <f>IF($C192="","",IFERROR(INDEX(Checklist!$D$6:$D$20,MATCH($C192,Checklist!$B$6:$B$20,0)),""))</f>
        <v/>
      </c>
      <c r="H192" s="29"/>
      <c r="I192" s="29"/>
      <c r="J192" s="29"/>
      <c r="K192" s="23"/>
      <c r="L192" s="24"/>
      <c r="M192" s="28"/>
      <c r="N192" s="24"/>
      <c r="O192" s="17">
        <f>IF(OR($B192="",$L192="",$M192="Closed"),"",MAX(0,Setup!$C$5-$L192))</f>
        <v/>
      </c>
      <c r="P192" s="17">
        <f>IF($B192="","",IF($M192="Closed","CLOSED",IF($L192="","NO DUE DATE",IF(Setup!$C$5&gt;$L192,"OVERDUE",IF($L192-Setup!$C$5&lt;=7,"DUE SOON","OPEN")))))</f>
        <v/>
      </c>
      <c r="Q192" s="17">
        <f>IF($B192="","",IF($M192="Closed",0,1))</f>
        <v/>
      </c>
    </row>
    <row r="193" spans="1:17">
      <c r="A193" s="17">
        <f>IF($B193="","","F-1188")</f>
        <v/>
      </c>
      <c r="B193" s="28"/>
      <c r="C193" s="28"/>
      <c r="D193" s="8">
        <f>IF($B193="","",IFERROR(INDEX(Audit_Log!$B$6:$B$405,MATCH($B193,Audit_Log!$A$6:$A$405,0)),""))</f>
        <v/>
      </c>
      <c r="E193" s="18">
        <f>IF($B193="","",IFERROR(INDEX(Audit_Log!$C$6:$C$405,MATCH($B193,Audit_Log!$A$6:$A$405,0)),""))</f>
        <v/>
      </c>
      <c r="F193" s="17">
        <f>IF($B193="","",IFERROR(INDEX(Audit_Log!$D$6:$D$405,MATCH($B193,Audit_Log!$A$6:$A$405,0)),""))</f>
        <v/>
      </c>
      <c r="G193" s="30">
        <f>IF($C193="","",IFERROR(INDEX(Checklist!$D$6:$D$20,MATCH($C193,Checklist!$B$6:$B$20,0)),""))</f>
        <v/>
      </c>
      <c r="H193" s="29"/>
      <c r="I193" s="29"/>
      <c r="J193" s="29"/>
      <c r="K193" s="23"/>
      <c r="L193" s="24"/>
      <c r="M193" s="28"/>
      <c r="N193" s="24"/>
      <c r="O193" s="17">
        <f>IF(OR($B193="",$L193="",$M193="Closed"),"",MAX(0,Setup!$C$5-$L193))</f>
        <v/>
      </c>
      <c r="P193" s="17">
        <f>IF($B193="","",IF($M193="Closed","CLOSED",IF($L193="","NO DUE DATE",IF(Setup!$C$5&gt;$L193,"OVERDUE",IF($L193-Setup!$C$5&lt;=7,"DUE SOON","OPEN")))))</f>
        <v/>
      </c>
      <c r="Q193" s="17">
        <f>IF($B193="","",IF($M193="Closed",0,1))</f>
        <v/>
      </c>
    </row>
    <row r="194" spans="1:17">
      <c r="A194" s="17">
        <f>IF($B194="","","F-1189")</f>
        <v/>
      </c>
      <c r="B194" s="28"/>
      <c r="C194" s="28"/>
      <c r="D194" s="8">
        <f>IF($B194="","",IFERROR(INDEX(Audit_Log!$B$6:$B$405,MATCH($B194,Audit_Log!$A$6:$A$405,0)),""))</f>
        <v/>
      </c>
      <c r="E194" s="18">
        <f>IF($B194="","",IFERROR(INDEX(Audit_Log!$C$6:$C$405,MATCH($B194,Audit_Log!$A$6:$A$405,0)),""))</f>
        <v/>
      </c>
      <c r="F194" s="17">
        <f>IF($B194="","",IFERROR(INDEX(Audit_Log!$D$6:$D$405,MATCH($B194,Audit_Log!$A$6:$A$405,0)),""))</f>
        <v/>
      </c>
      <c r="G194" s="30">
        <f>IF($C194="","",IFERROR(INDEX(Checklist!$D$6:$D$20,MATCH($C194,Checklist!$B$6:$B$20,0)),""))</f>
        <v/>
      </c>
      <c r="H194" s="29"/>
      <c r="I194" s="29"/>
      <c r="J194" s="29"/>
      <c r="K194" s="23"/>
      <c r="L194" s="24"/>
      <c r="M194" s="28"/>
      <c r="N194" s="24"/>
      <c r="O194" s="17">
        <f>IF(OR($B194="",$L194="",$M194="Closed"),"",MAX(0,Setup!$C$5-$L194))</f>
        <v/>
      </c>
      <c r="P194" s="17">
        <f>IF($B194="","",IF($M194="Closed","CLOSED",IF($L194="","NO DUE DATE",IF(Setup!$C$5&gt;$L194,"OVERDUE",IF($L194-Setup!$C$5&lt;=7,"DUE SOON","OPEN")))))</f>
        <v/>
      </c>
      <c r="Q194" s="17">
        <f>IF($B194="","",IF($M194="Closed",0,1))</f>
        <v/>
      </c>
    </row>
    <row r="195" spans="1:17">
      <c r="A195" s="17">
        <f>IF($B195="","","F-1190")</f>
        <v/>
      </c>
      <c r="B195" s="28"/>
      <c r="C195" s="28"/>
      <c r="D195" s="8">
        <f>IF($B195="","",IFERROR(INDEX(Audit_Log!$B$6:$B$405,MATCH($B195,Audit_Log!$A$6:$A$405,0)),""))</f>
        <v/>
      </c>
      <c r="E195" s="18">
        <f>IF($B195="","",IFERROR(INDEX(Audit_Log!$C$6:$C$405,MATCH($B195,Audit_Log!$A$6:$A$405,0)),""))</f>
        <v/>
      </c>
      <c r="F195" s="17">
        <f>IF($B195="","",IFERROR(INDEX(Audit_Log!$D$6:$D$405,MATCH($B195,Audit_Log!$A$6:$A$405,0)),""))</f>
        <v/>
      </c>
      <c r="G195" s="30">
        <f>IF($C195="","",IFERROR(INDEX(Checklist!$D$6:$D$20,MATCH($C195,Checklist!$B$6:$B$20,0)),""))</f>
        <v/>
      </c>
      <c r="H195" s="29"/>
      <c r="I195" s="29"/>
      <c r="J195" s="29"/>
      <c r="K195" s="23"/>
      <c r="L195" s="24"/>
      <c r="M195" s="28"/>
      <c r="N195" s="24"/>
      <c r="O195" s="17">
        <f>IF(OR($B195="",$L195="",$M195="Closed"),"",MAX(0,Setup!$C$5-$L195))</f>
        <v/>
      </c>
      <c r="P195" s="17">
        <f>IF($B195="","",IF($M195="Closed","CLOSED",IF($L195="","NO DUE DATE",IF(Setup!$C$5&gt;$L195,"OVERDUE",IF($L195-Setup!$C$5&lt;=7,"DUE SOON","OPEN")))))</f>
        <v/>
      </c>
      <c r="Q195" s="17">
        <f>IF($B195="","",IF($M195="Closed",0,1))</f>
        <v/>
      </c>
    </row>
    <row r="196" spans="1:17">
      <c r="A196" s="17">
        <f>IF($B196="","","F-1191")</f>
        <v/>
      </c>
      <c r="B196" s="28"/>
      <c r="C196" s="28"/>
      <c r="D196" s="8">
        <f>IF($B196="","",IFERROR(INDEX(Audit_Log!$B$6:$B$405,MATCH($B196,Audit_Log!$A$6:$A$405,0)),""))</f>
        <v/>
      </c>
      <c r="E196" s="18">
        <f>IF($B196="","",IFERROR(INDEX(Audit_Log!$C$6:$C$405,MATCH($B196,Audit_Log!$A$6:$A$405,0)),""))</f>
        <v/>
      </c>
      <c r="F196" s="17">
        <f>IF($B196="","",IFERROR(INDEX(Audit_Log!$D$6:$D$405,MATCH($B196,Audit_Log!$A$6:$A$405,0)),""))</f>
        <v/>
      </c>
      <c r="G196" s="30">
        <f>IF($C196="","",IFERROR(INDEX(Checklist!$D$6:$D$20,MATCH($C196,Checklist!$B$6:$B$20,0)),""))</f>
        <v/>
      </c>
      <c r="H196" s="29"/>
      <c r="I196" s="29"/>
      <c r="J196" s="29"/>
      <c r="K196" s="23"/>
      <c r="L196" s="24"/>
      <c r="M196" s="28"/>
      <c r="N196" s="24"/>
      <c r="O196" s="17">
        <f>IF(OR($B196="",$L196="",$M196="Closed"),"",MAX(0,Setup!$C$5-$L196))</f>
        <v/>
      </c>
      <c r="P196" s="17">
        <f>IF($B196="","",IF($M196="Closed","CLOSED",IF($L196="","NO DUE DATE",IF(Setup!$C$5&gt;$L196,"OVERDUE",IF($L196-Setup!$C$5&lt;=7,"DUE SOON","OPEN")))))</f>
        <v/>
      </c>
      <c r="Q196" s="17">
        <f>IF($B196="","",IF($M196="Closed",0,1))</f>
        <v/>
      </c>
    </row>
    <row r="197" spans="1:17">
      <c r="A197" s="17">
        <f>IF($B197="","","F-1192")</f>
        <v/>
      </c>
      <c r="B197" s="28"/>
      <c r="C197" s="28"/>
      <c r="D197" s="8">
        <f>IF($B197="","",IFERROR(INDEX(Audit_Log!$B$6:$B$405,MATCH($B197,Audit_Log!$A$6:$A$405,0)),""))</f>
        <v/>
      </c>
      <c r="E197" s="18">
        <f>IF($B197="","",IFERROR(INDEX(Audit_Log!$C$6:$C$405,MATCH($B197,Audit_Log!$A$6:$A$405,0)),""))</f>
        <v/>
      </c>
      <c r="F197" s="17">
        <f>IF($B197="","",IFERROR(INDEX(Audit_Log!$D$6:$D$405,MATCH($B197,Audit_Log!$A$6:$A$405,0)),""))</f>
        <v/>
      </c>
      <c r="G197" s="30">
        <f>IF($C197="","",IFERROR(INDEX(Checklist!$D$6:$D$20,MATCH($C197,Checklist!$B$6:$B$20,0)),""))</f>
        <v/>
      </c>
      <c r="H197" s="29"/>
      <c r="I197" s="29"/>
      <c r="J197" s="29"/>
      <c r="K197" s="23"/>
      <c r="L197" s="24"/>
      <c r="M197" s="28"/>
      <c r="N197" s="24"/>
      <c r="O197" s="17">
        <f>IF(OR($B197="",$L197="",$M197="Closed"),"",MAX(0,Setup!$C$5-$L197))</f>
        <v/>
      </c>
      <c r="P197" s="17">
        <f>IF($B197="","",IF($M197="Closed","CLOSED",IF($L197="","NO DUE DATE",IF(Setup!$C$5&gt;$L197,"OVERDUE",IF($L197-Setup!$C$5&lt;=7,"DUE SOON","OPEN")))))</f>
        <v/>
      </c>
      <c r="Q197" s="17">
        <f>IF($B197="","",IF($M197="Closed",0,1))</f>
        <v/>
      </c>
    </row>
    <row r="198" spans="1:17">
      <c r="A198" s="17">
        <f>IF($B198="","","F-1193")</f>
        <v/>
      </c>
      <c r="B198" s="28"/>
      <c r="C198" s="28"/>
      <c r="D198" s="8">
        <f>IF($B198="","",IFERROR(INDEX(Audit_Log!$B$6:$B$405,MATCH($B198,Audit_Log!$A$6:$A$405,0)),""))</f>
        <v/>
      </c>
      <c r="E198" s="18">
        <f>IF($B198="","",IFERROR(INDEX(Audit_Log!$C$6:$C$405,MATCH($B198,Audit_Log!$A$6:$A$405,0)),""))</f>
        <v/>
      </c>
      <c r="F198" s="17">
        <f>IF($B198="","",IFERROR(INDEX(Audit_Log!$D$6:$D$405,MATCH($B198,Audit_Log!$A$6:$A$405,0)),""))</f>
        <v/>
      </c>
      <c r="G198" s="30">
        <f>IF($C198="","",IFERROR(INDEX(Checklist!$D$6:$D$20,MATCH($C198,Checklist!$B$6:$B$20,0)),""))</f>
        <v/>
      </c>
      <c r="H198" s="29"/>
      <c r="I198" s="29"/>
      <c r="J198" s="29"/>
      <c r="K198" s="23"/>
      <c r="L198" s="24"/>
      <c r="M198" s="28"/>
      <c r="N198" s="24"/>
      <c r="O198" s="17">
        <f>IF(OR($B198="",$L198="",$M198="Closed"),"",MAX(0,Setup!$C$5-$L198))</f>
        <v/>
      </c>
      <c r="P198" s="17">
        <f>IF($B198="","",IF($M198="Closed","CLOSED",IF($L198="","NO DUE DATE",IF(Setup!$C$5&gt;$L198,"OVERDUE",IF($L198-Setup!$C$5&lt;=7,"DUE SOON","OPEN")))))</f>
        <v/>
      </c>
      <c r="Q198" s="17">
        <f>IF($B198="","",IF($M198="Closed",0,1))</f>
        <v/>
      </c>
    </row>
    <row r="199" spans="1:17">
      <c r="A199" s="17">
        <f>IF($B199="","","F-1194")</f>
        <v/>
      </c>
      <c r="B199" s="28"/>
      <c r="C199" s="28"/>
      <c r="D199" s="8">
        <f>IF($B199="","",IFERROR(INDEX(Audit_Log!$B$6:$B$405,MATCH($B199,Audit_Log!$A$6:$A$405,0)),""))</f>
        <v/>
      </c>
      <c r="E199" s="18">
        <f>IF($B199="","",IFERROR(INDEX(Audit_Log!$C$6:$C$405,MATCH($B199,Audit_Log!$A$6:$A$405,0)),""))</f>
        <v/>
      </c>
      <c r="F199" s="17">
        <f>IF($B199="","",IFERROR(INDEX(Audit_Log!$D$6:$D$405,MATCH($B199,Audit_Log!$A$6:$A$405,0)),""))</f>
        <v/>
      </c>
      <c r="G199" s="30">
        <f>IF($C199="","",IFERROR(INDEX(Checklist!$D$6:$D$20,MATCH($C199,Checklist!$B$6:$B$20,0)),""))</f>
        <v/>
      </c>
      <c r="H199" s="29"/>
      <c r="I199" s="29"/>
      <c r="J199" s="29"/>
      <c r="K199" s="23"/>
      <c r="L199" s="24"/>
      <c r="M199" s="28"/>
      <c r="N199" s="24"/>
      <c r="O199" s="17">
        <f>IF(OR($B199="",$L199="",$M199="Closed"),"",MAX(0,Setup!$C$5-$L199))</f>
        <v/>
      </c>
      <c r="P199" s="17">
        <f>IF($B199="","",IF($M199="Closed","CLOSED",IF($L199="","NO DUE DATE",IF(Setup!$C$5&gt;$L199,"OVERDUE",IF($L199-Setup!$C$5&lt;=7,"DUE SOON","OPEN")))))</f>
        <v/>
      </c>
      <c r="Q199" s="17">
        <f>IF($B199="","",IF($M199="Closed",0,1))</f>
        <v/>
      </c>
    </row>
    <row r="200" spans="1:17">
      <c r="A200" s="17">
        <f>IF($B200="","","F-1195")</f>
        <v/>
      </c>
      <c r="B200" s="28"/>
      <c r="C200" s="28"/>
      <c r="D200" s="8">
        <f>IF($B200="","",IFERROR(INDEX(Audit_Log!$B$6:$B$405,MATCH($B200,Audit_Log!$A$6:$A$405,0)),""))</f>
        <v/>
      </c>
      <c r="E200" s="18">
        <f>IF($B200="","",IFERROR(INDEX(Audit_Log!$C$6:$C$405,MATCH($B200,Audit_Log!$A$6:$A$405,0)),""))</f>
        <v/>
      </c>
      <c r="F200" s="17">
        <f>IF($B200="","",IFERROR(INDEX(Audit_Log!$D$6:$D$405,MATCH($B200,Audit_Log!$A$6:$A$405,0)),""))</f>
        <v/>
      </c>
      <c r="G200" s="30">
        <f>IF($C200="","",IFERROR(INDEX(Checklist!$D$6:$D$20,MATCH($C200,Checklist!$B$6:$B$20,0)),""))</f>
        <v/>
      </c>
      <c r="H200" s="29"/>
      <c r="I200" s="29"/>
      <c r="J200" s="29"/>
      <c r="K200" s="23"/>
      <c r="L200" s="24"/>
      <c r="M200" s="28"/>
      <c r="N200" s="24"/>
      <c r="O200" s="17">
        <f>IF(OR($B200="",$L200="",$M200="Closed"),"",MAX(0,Setup!$C$5-$L200))</f>
        <v/>
      </c>
      <c r="P200" s="17">
        <f>IF($B200="","",IF($M200="Closed","CLOSED",IF($L200="","NO DUE DATE",IF(Setup!$C$5&gt;$L200,"OVERDUE",IF($L200-Setup!$C$5&lt;=7,"DUE SOON","OPEN")))))</f>
        <v/>
      </c>
      <c r="Q200" s="17">
        <f>IF($B200="","",IF($M200="Closed",0,1))</f>
        <v/>
      </c>
    </row>
    <row r="201" spans="1:17">
      <c r="A201" s="17">
        <f>IF($B201="","","F-1196")</f>
        <v/>
      </c>
      <c r="B201" s="28"/>
      <c r="C201" s="28"/>
      <c r="D201" s="8">
        <f>IF($B201="","",IFERROR(INDEX(Audit_Log!$B$6:$B$405,MATCH($B201,Audit_Log!$A$6:$A$405,0)),""))</f>
        <v/>
      </c>
      <c r="E201" s="18">
        <f>IF($B201="","",IFERROR(INDEX(Audit_Log!$C$6:$C$405,MATCH($B201,Audit_Log!$A$6:$A$405,0)),""))</f>
        <v/>
      </c>
      <c r="F201" s="17">
        <f>IF($B201="","",IFERROR(INDEX(Audit_Log!$D$6:$D$405,MATCH($B201,Audit_Log!$A$6:$A$405,0)),""))</f>
        <v/>
      </c>
      <c r="G201" s="30">
        <f>IF($C201="","",IFERROR(INDEX(Checklist!$D$6:$D$20,MATCH($C201,Checklist!$B$6:$B$20,0)),""))</f>
        <v/>
      </c>
      <c r="H201" s="29"/>
      <c r="I201" s="29"/>
      <c r="J201" s="29"/>
      <c r="K201" s="23"/>
      <c r="L201" s="24"/>
      <c r="M201" s="28"/>
      <c r="N201" s="24"/>
      <c r="O201" s="17">
        <f>IF(OR($B201="",$L201="",$M201="Closed"),"",MAX(0,Setup!$C$5-$L201))</f>
        <v/>
      </c>
      <c r="P201" s="17">
        <f>IF($B201="","",IF($M201="Closed","CLOSED",IF($L201="","NO DUE DATE",IF(Setup!$C$5&gt;$L201,"OVERDUE",IF($L201-Setup!$C$5&lt;=7,"DUE SOON","OPEN")))))</f>
        <v/>
      </c>
      <c r="Q201" s="17">
        <f>IF($B201="","",IF($M201="Closed",0,1))</f>
        <v/>
      </c>
    </row>
    <row r="202" spans="1:17">
      <c r="A202" s="17">
        <f>IF($B202="","","F-1197")</f>
        <v/>
      </c>
      <c r="B202" s="28"/>
      <c r="C202" s="28"/>
      <c r="D202" s="8">
        <f>IF($B202="","",IFERROR(INDEX(Audit_Log!$B$6:$B$405,MATCH($B202,Audit_Log!$A$6:$A$405,0)),""))</f>
        <v/>
      </c>
      <c r="E202" s="18">
        <f>IF($B202="","",IFERROR(INDEX(Audit_Log!$C$6:$C$405,MATCH($B202,Audit_Log!$A$6:$A$405,0)),""))</f>
        <v/>
      </c>
      <c r="F202" s="17">
        <f>IF($B202="","",IFERROR(INDEX(Audit_Log!$D$6:$D$405,MATCH($B202,Audit_Log!$A$6:$A$405,0)),""))</f>
        <v/>
      </c>
      <c r="G202" s="30">
        <f>IF($C202="","",IFERROR(INDEX(Checklist!$D$6:$D$20,MATCH($C202,Checklist!$B$6:$B$20,0)),""))</f>
        <v/>
      </c>
      <c r="H202" s="29"/>
      <c r="I202" s="29"/>
      <c r="J202" s="29"/>
      <c r="K202" s="23"/>
      <c r="L202" s="24"/>
      <c r="M202" s="28"/>
      <c r="N202" s="24"/>
      <c r="O202" s="17">
        <f>IF(OR($B202="",$L202="",$M202="Closed"),"",MAX(0,Setup!$C$5-$L202))</f>
        <v/>
      </c>
      <c r="P202" s="17">
        <f>IF($B202="","",IF($M202="Closed","CLOSED",IF($L202="","NO DUE DATE",IF(Setup!$C$5&gt;$L202,"OVERDUE",IF($L202-Setup!$C$5&lt;=7,"DUE SOON","OPEN")))))</f>
        <v/>
      </c>
      <c r="Q202" s="17">
        <f>IF($B202="","",IF($M202="Closed",0,1))</f>
        <v/>
      </c>
    </row>
    <row r="203" spans="1:17">
      <c r="A203" s="17">
        <f>IF($B203="","","F-1198")</f>
        <v/>
      </c>
      <c r="B203" s="28"/>
      <c r="C203" s="28"/>
      <c r="D203" s="8">
        <f>IF($B203="","",IFERROR(INDEX(Audit_Log!$B$6:$B$405,MATCH($B203,Audit_Log!$A$6:$A$405,0)),""))</f>
        <v/>
      </c>
      <c r="E203" s="18">
        <f>IF($B203="","",IFERROR(INDEX(Audit_Log!$C$6:$C$405,MATCH($B203,Audit_Log!$A$6:$A$405,0)),""))</f>
        <v/>
      </c>
      <c r="F203" s="17">
        <f>IF($B203="","",IFERROR(INDEX(Audit_Log!$D$6:$D$405,MATCH($B203,Audit_Log!$A$6:$A$405,0)),""))</f>
        <v/>
      </c>
      <c r="G203" s="30">
        <f>IF($C203="","",IFERROR(INDEX(Checklist!$D$6:$D$20,MATCH($C203,Checklist!$B$6:$B$20,0)),""))</f>
        <v/>
      </c>
      <c r="H203" s="29"/>
      <c r="I203" s="29"/>
      <c r="J203" s="29"/>
      <c r="K203" s="23"/>
      <c r="L203" s="24"/>
      <c r="M203" s="28"/>
      <c r="N203" s="24"/>
      <c r="O203" s="17">
        <f>IF(OR($B203="",$L203="",$M203="Closed"),"",MAX(0,Setup!$C$5-$L203))</f>
        <v/>
      </c>
      <c r="P203" s="17">
        <f>IF($B203="","",IF($M203="Closed","CLOSED",IF($L203="","NO DUE DATE",IF(Setup!$C$5&gt;$L203,"OVERDUE",IF($L203-Setup!$C$5&lt;=7,"DUE SOON","OPEN")))))</f>
        <v/>
      </c>
      <c r="Q203" s="17">
        <f>IF($B203="","",IF($M203="Closed",0,1))</f>
        <v/>
      </c>
    </row>
    <row r="204" spans="1:17">
      <c r="A204" s="17">
        <f>IF($B204="","","F-1199")</f>
        <v/>
      </c>
      <c r="B204" s="28"/>
      <c r="C204" s="28"/>
      <c r="D204" s="8">
        <f>IF($B204="","",IFERROR(INDEX(Audit_Log!$B$6:$B$405,MATCH($B204,Audit_Log!$A$6:$A$405,0)),""))</f>
        <v/>
      </c>
      <c r="E204" s="18">
        <f>IF($B204="","",IFERROR(INDEX(Audit_Log!$C$6:$C$405,MATCH($B204,Audit_Log!$A$6:$A$405,0)),""))</f>
        <v/>
      </c>
      <c r="F204" s="17">
        <f>IF($B204="","",IFERROR(INDEX(Audit_Log!$D$6:$D$405,MATCH($B204,Audit_Log!$A$6:$A$405,0)),""))</f>
        <v/>
      </c>
      <c r="G204" s="30">
        <f>IF($C204="","",IFERROR(INDEX(Checklist!$D$6:$D$20,MATCH($C204,Checklist!$B$6:$B$20,0)),""))</f>
        <v/>
      </c>
      <c r="H204" s="29"/>
      <c r="I204" s="29"/>
      <c r="J204" s="29"/>
      <c r="K204" s="23"/>
      <c r="L204" s="24"/>
      <c r="M204" s="28"/>
      <c r="N204" s="24"/>
      <c r="O204" s="17">
        <f>IF(OR($B204="",$L204="",$M204="Closed"),"",MAX(0,Setup!$C$5-$L204))</f>
        <v/>
      </c>
      <c r="P204" s="17">
        <f>IF($B204="","",IF($M204="Closed","CLOSED",IF($L204="","NO DUE DATE",IF(Setup!$C$5&gt;$L204,"OVERDUE",IF($L204-Setup!$C$5&lt;=7,"DUE SOON","OPEN")))))</f>
        <v/>
      </c>
      <c r="Q204" s="17">
        <f>IF($B204="","",IF($M204="Closed",0,1))</f>
        <v/>
      </c>
    </row>
    <row r="205" spans="1:17">
      <c r="A205" s="17">
        <f>IF($B205="","","F-1200")</f>
        <v/>
      </c>
      <c r="B205" s="28"/>
      <c r="C205" s="28"/>
      <c r="D205" s="8">
        <f>IF($B205="","",IFERROR(INDEX(Audit_Log!$B$6:$B$405,MATCH($B205,Audit_Log!$A$6:$A$405,0)),""))</f>
        <v/>
      </c>
      <c r="E205" s="18">
        <f>IF($B205="","",IFERROR(INDEX(Audit_Log!$C$6:$C$405,MATCH($B205,Audit_Log!$A$6:$A$405,0)),""))</f>
        <v/>
      </c>
      <c r="F205" s="17">
        <f>IF($B205="","",IFERROR(INDEX(Audit_Log!$D$6:$D$405,MATCH($B205,Audit_Log!$A$6:$A$405,0)),""))</f>
        <v/>
      </c>
      <c r="G205" s="30">
        <f>IF($C205="","",IFERROR(INDEX(Checklist!$D$6:$D$20,MATCH($C205,Checklist!$B$6:$B$20,0)),""))</f>
        <v/>
      </c>
      <c r="H205" s="29"/>
      <c r="I205" s="29"/>
      <c r="J205" s="29"/>
      <c r="K205" s="23"/>
      <c r="L205" s="24"/>
      <c r="M205" s="28"/>
      <c r="N205" s="24"/>
      <c r="O205" s="17">
        <f>IF(OR($B205="",$L205="",$M205="Closed"),"",MAX(0,Setup!$C$5-$L205))</f>
        <v/>
      </c>
      <c r="P205" s="17">
        <f>IF($B205="","",IF($M205="Closed","CLOSED",IF($L205="","NO DUE DATE",IF(Setup!$C$5&gt;$L205,"OVERDUE",IF($L205-Setup!$C$5&lt;=7,"DUE SOON","OPEN")))))</f>
        <v/>
      </c>
      <c r="Q205" s="17">
        <f>IF($B205="","",IF($M205="Closed",0,1))</f>
        <v/>
      </c>
    </row>
    <row r="206" spans="1:17">
      <c r="A206" s="17">
        <f>IF($B206="","","F-1201")</f>
        <v/>
      </c>
      <c r="B206" s="28"/>
      <c r="C206" s="28"/>
      <c r="D206" s="8">
        <f>IF($B206="","",IFERROR(INDEX(Audit_Log!$B$6:$B$405,MATCH($B206,Audit_Log!$A$6:$A$405,0)),""))</f>
        <v/>
      </c>
      <c r="E206" s="18">
        <f>IF($B206="","",IFERROR(INDEX(Audit_Log!$C$6:$C$405,MATCH($B206,Audit_Log!$A$6:$A$405,0)),""))</f>
        <v/>
      </c>
      <c r="F206" s="17">
        <f>IF($B206="","",IFERROR(INDEX(Audit_Log!$D$6:$D$405,MATCH($B206,Audit_Log!$A$6:$A$405,0)),""))</f>
        <v/>
      </c>
      <c r="G206" s="30">
        <f>IF($C206="","",IFERROR(INDEX(Checklist!$D$6:$D$20,MATCH($C206,Checklist!$B$6:$B$20,0)),""))</f>
        <v/>
      </c>
      <c r="H206" s="29"/>
      <c r="I206" s="29"/>
      <c r="J206" s="29"/>
      <c r="K206" s="23"/>
      <c r="L206" s="24"/>
      <c r="M206" s="28"/>
      <c r="N206" s="24"/>
      <c r="O206" s="17">
        <f>IF(OR($B206="",$L206="",$M206="Closed"),"",MAX(0,Setup!$C$5-$L206))</f>
        <v/>
      </c>
      <c r="P206" s="17">
        <f>IF($B206="","",IF($M206="Closed","CLOSED",IF($L206="","NO DUE DATE",IF(Setup!$C$5&gt;$L206,"OVERDUE",IF($L206-Setup!$C$5&lt;=7,"DUE SOON","OPEN")))))</f>
        <v/>
      </c>
      <c r="Q206" s="17">
        <f>IF($B206="","",IF($M206="Closed",0,1))</f>
        <v/>
      </c>
    </row>
    <row r="207" spans="1:17">
      <c r="A207" s="17">
        <f>IF($B207="","","F-1202")</f>
        <v/>
      </c>
      <c r="B207" s="28"/>
      <c r="C207" s="28"/>
      <c r="D207" s="8">
        <f>IF($B207="","",IFERROR(INDEX(Audit_Log!$B$6:$B$405,MATCH($B207,Audit_Log!$A$6:$A$405,0)),""))</f>
        <v/>
      </c>
      <c r="E207" s="18">
        <f>IF($B207="","",IFERROR(INDEX(Audit_Log!$C$6:$C$405,MATCH($B207,Audit_Log!$A$6:$A$405,0)),""))</f>
        <v/>
      </c>
      <c r="F207" s="17">
        <f>IF($B207="","",IFERROR(INDEX(Audit_Log!$D$6:$D$405,MATCH($B207,Audit_Log!$A$6:$A$405,0)),""))</f>
        <v/>
      </c>
      <c r="G207" s="30">
        <f>IF($C207="","",IFERROR(INDEX(Checklist!$D$6:$D$20,MATCH($C207,Checklist!$B$6:$B$20,0)),""))</f>
        <v/>
      </c>
      <c r="H207" s="29"/>
      <c r="I207" s="29"/>
      <c r="J207" s="29"/>
      <c r="K207" s="23"/>
      <c r="L207" s="24"/>
      <c r="M207" s="28"/>
      <c r="N207" s="24"/>
      <c r="O207" s="17">
        <f>IF(OR($B207="",$L207="",$M207="Closed"),"",MAX(0,Setup!$C$5-$L207))</f>
        <v/>
      </c>
      <c r="P207" s="17">
        <f>IF($B207="","",IF($M207="Closed","CLOSED",IF($L207="","NO DUE DATE",IF(Setup!$C$5&gt;$L207,"OVERDUE",IF($L207-Setup!$C$5&lt;=7,"DUE SOON","OPEN")))))</f>
        <v/>
      </c>
      <c r="Q207" s="17">
        <f>IF($B207="","",IF($M207="Closed",0,1))</f>
        <v/>
      </c>
    </row>
    <row r="208" spans="1:17">
      <c r="A208" s="17">
        <f>IF($B208="","","F-1203")</f>
        <v/>
      </c>
      <c r="B208" s="28"/>
      <c r="C208" s="28"/>
      <c r="D208" s="8">
        <f>IF($B208="","",IFERROR(INDEX(Audit_Log!$B$6:$B$405,MATCH($B208,Audit_Log!$A$6:$A$405,0)),""))</f>
        <v/>
      </c>
      <c r="E208" s="18">
        <f>IF($B208="","",IFERROR(INDEX(Audit_Log!$C$6:$C$405,MATCH($B208,Audit_Log!$A$6:$A$405,0)),""))</f>
        <v/>
      </c>
      <c r="F208" s="17">
        <f>IF($B208="","",IFERROR(INDEX(Audit_Log!$D$6:$D$405,MATCH($B208,Audit_Log!$A$6:$A$405,0)),""))</f>
        <v/>
      </c>
      <c r="G208" s="30">
        <f>IF($C208="","",IFERROR(INDEX(Checklist!$D$6:$D$20,MATCH($C208,Checklist!$B$6:$B$20,0)),""))</f>
        <v/>
      </c>
      <c r="H208" s="29"/>
      <c r="I208" s="29"/>
      <c r="J208" s="29"/>
      <c r="K208" s="23"/>
      <c r="L208" s="24"/>
      <c r="M208" s="28"/>
      <c r="N208" s="24"/>
      <c r="O208" s="17">
        <f>IF(OR($B208="",$L208="",$M208="Closed"),"",MAX(0,Setup!$C$5-$L208))</f>
        <v/>
      </c>
      <c r="P208" s="17">
        <f>IF($B208="","",IF($M208="Closed","CLOSED",IF($L208="","NO DUE DATE",IF(Setup!$C$5&gt;$L208,"OVERDUE",IF($L208-Setup!$C$5&lt;=7,"DUE SOON","OPEN")))))</f>
        <v/>
      </c>
      <c r="Q208" s="17">
        <f>IF($B208="","",IF($M208="Closed",0,1))</f>
        <v/>
      </c>
    </row>
    <row r="209" spans="1:17">
      <c r="A209" s="17">
        <f>IF($B209="","","F-1204")</f>
        <v/>
      </c>
      <c r="B209" s="28"/>
      <c r="C209" s="28"/>
      <c r="D209" s="8">
        <f>IF($B209="","",IFERROR(INDEX(Audit_Log!$B$6:$B$405,MATCH($B209,Audit_Log!$A$6:$A$405,0)),""))</f>
        <v/>
      </c>
      <c r="E209" s="18">
        <f>IF($B209="","",IFERROR(INDEX(Audit_Log!$C$6:$C$405,MATCH($B209,Audit_Log!$A$6:$A$405,0)),""))</f>
        <v/>
      </c>
      <c r="F209" s="17">
        <f>IF($B209="","",IFERROR(INDEX(Audit_Log!$D$6:$D$405,MATCH($B209,Audit_Log!$A$6:$A$405,0)),""))</f>
        <v/>
      </c>
      <c r="G209" s="30">
        <f>IF($C209="","",IFERROR(INDEX(Checklist!$D$6:$D$20,MATCH($C209,Checklist!$B$6:$B$20,0)),""))</f>
        <v/>
      </c>
      <c r="H209" s="29"/>
      <c r="I209" s="29"/>
      <c r="J209" s="29"/>
      <c r="K209" s="23"/>
      <c r="L209" s="24"/>
      <c r="M209" s="28"/>
      <c r="N209" s="24"/>
      <c r="O209" s="17">
        <f>IF(OR($B209="",$L209="",$M209="Closed"),"",MAX(0,Setup!$C$5-$L209))</f>
        <v/>
      </c>
      <c r="P209" s="17">
        <f>IF($B209="","",IF($M209="Closed","CLOSED",IF($L209="","NO DUE DATE",IF(Setup!$C$5&gt;$L209,"OVERDUE",IF($L209-Setup!$C$5&lt;=7,"DUE SOON","OPEN")))))</f>
        <v/>
      </c>
      <c r="Q209" s="17">
        <f>IF($B209="","",IF($M209="Closed",0,1))</f>
        <v/>
      </c>
    </row>
    <row r="210" spans="1:17">
      <c r="A210" s="17">
        <f>IF($B210="","","F-1205")</f>
        <v/>
      </c>
      <c r="B210" s="28"/>
      <c r="C210" s="28"/>
      <c r="D210" s="8">
        <f>IF($B210="","",IFERROR(INDEX(Audit_Log!$B$6:$B$405,MATCH($B210,Audit_Log!$A$6:$A$405,0)),""))</f>
        <v/>
      </c>
      <c r="E210" s="18">
        <f>IF($B210="","",IFERROR(INDEX(Audit_Log!$C$6:$C$405,MATCH($B210,Audit_Log!$A$6:$A$405,0)),""))</f>
        <v/>
      </c>
      <c r="F210" s="17">
        <f>IF($B210="","",IFERROR(INDEX(Audit_Log!$D$6:$D$405,MATCH($B210,Audit_Log!$A$6:$A$405,0)),""))</f>
        <v/>
      </c>
      <c r="G210" s="30">
        <f>IF($C210="","",IFERROR(INDEX(Checklist!$D$6:$D$20,MATCH($C210,Checklist!$B$6:$B$20,0)),""))</f>
        <v/>
      </c>
      <c r="H210" s="29"/>
      <c r="I210" s="29"/>
      <c r="J210" s="29"/>
      <c r="K210" s="23"/>
      <c r="L210" s="24"/>
      <c r="M210" s="28"/>
      <c r="N210" s="24"/>
      <c r="O210" s="17">
        <f>IF(OR($B210="",$L210="",$M210="Closed"),"",MAX(0,Setup!$C$5-$L210))</f>
        <v/>
      </c>
      <c r="P210" s="17">
        <f>IF($B210="","",IF($M210="Closed","CLOSED",IF($L210="","NO DUE DATE",IF(Setup!$C$5&gt;$L210,"OVERDUE",IF($L210-Setup!$C$5&lt;=7,"DUE SOON","OPEN")))))</f>
        <v/>
      </c>
      <c r="Q210" s="17">
        <f>IF($B210="","",IF($M210="Closed",0,1))</f>
        <v/>
      </c>
    </row>
    <row r="211" spans="1:17">
      <c r="A211" s="17">
        <f>IF($B211="","","F-1206")</f>
        <v/>
      </c>
      <c r="B211" s="28"/>
      <c r="C211" s="28"/>
      <c r="D211" s="8">
        <f>IF($B211="","",IFERROR(INDEX(Audit_Log!$B$6:$B$405,MATCH($B211,Audit_Log!$A$6:$A$405,0)),""))</f>
        <v/>
      </c>
      <c r="E211" s="18">
        <f>IF($B211="","",IFERROR(INDEX(Audit_Log!$C$6:$C$405,MATCH($B211,Audit_Log!$A$6:$A$405,0)),""))</f>
        <v/>
      </c>
      <c r="F211" s="17">
        <f>IF($B211="","",IFERROR(INDEX(Audit_Log!$D$6:$D$405,MATCH($B211,Audit_Log!$A$6:$A$405,0)),""))</f>
        <v/>
      </c>
      <c r="G211" s="30">
        <f>IF($C211="","",IFERROR(INDEX(Checklist!$D$6:$D$20,MATCH($C211,Checklist!$B$6:$B$20,0)),""))</f>
        <v/>
      </c>
      <c r="H211" s="29"/>
      <c r="I211" s="29"/>
      <c r="J211" s="29"/>
      <c r="K211" s="23"/>
      <c r="L211" s="24"/>
      <c r="M211" s="28"/>
      <c r="N211" s="24"/>
      <c r="O211" s="17">
        <f>IF(OR($B211="",$L211="",$M211="Closed"),"",MAX(0,Setup!$C$5-$L211))</f>
        <v/>
      </c>
      <c r="P211" s="17">
        <f>IF($B211="","",IF($M211="Closed","CLOSED",IF($L211="","NO DUE DATE",IF(Setup!$C$5&gt;$L211,"OVERDUE",IF($L211-Setup!$C$5&lt;=7,"DUE SOON","OPEN")))))</f>
        <v/>
      </c>
      <c r="Q211" s="17">
        <f>IF($B211="","",IF($M211="Closed",0,1))</f>
        <v/>
      </c>
    </row>
    <row r="212" spans="1:17">
      <c r="A212" s="17">
        <f>IF($B212="","","F-1207")</f>
        <v/>
      </c>
      <c r="B212" s="28"/>
      <c r="C212" s="28"/>
      <c r="D212" s="8">
        <f>IF($B212="","",IFERROR(INDEX(Audit_Log!$B$6:$B$405,MATCH($B212,Audit_Log!$A$6:$A$405,0)),""))</f>
        <v/>
      </c>
      <c r="E212" s="18">
        <f>IF($B212="","",IFERROR(INDEX(Audit_Log!$C$6:$C$405,MATCH($B212,Audit_Log!$A$6:$A$405,0)),""))</f>
        <v/>
      </c>
      <c r="F212" s="17">
        <f>IF($B212="","",IFERROR(INDEX(Audit_Log!$D$6:$D$405,MATCH($B212,Audit_Log!$A$6:$A$405,0)),""))</f>
        <v/>
      </c>
      <c r="G212" s="30">
        <f>IF($C212="","",IFERROR(INDEX(Checklist!$D$6:$D$20,MATCH($C212,Checklist!$B$6:$B$20,0)),""))</f>
        <v/>
      </c>
      <c r="H212" s="29"/>
      <c r="I212" s="29"/>
      <c r="J212" s="29"/>
      <c r="K212" s="23"/>
      <c r="L212" s="24"/>
      <c r="M212" s="28"/>
      <c r="N212" s="24"/>
      <c r="O212" s="17">
        <f>IF(OR($B212="",$L212="",$M212="Closed"),"",MAX(0,Setup!$C$5-$L212))</f>
        <v/>
      </c>
      <c r="P212" s="17">
        <f>IF($B212="","",IF($M212="Closed","CLOSED",IF($L212="","NO DUE DATE",IF(Setup!$C$5&gt;$L212,"OVERDUE",IF($L212-Setup!$C$5&lt;=7,"DUE SOON","OPEN")))))</f>
        <v/>
      </c>
      <c r="Q212" s="17">
        <f>IF($B212="","",IF($M212="Closed",0,1))</f>
        <v/>
      </c>
    </row>
    <row r="213" spans="1:17">
      <c r="A213" s="17">
        <f>IF($B213="","","F-1208")</f>
        <v/>
      </c>
      <c r="B213" s="28"/>
      <c r="C213" s="28"/>
      <c r="D213" s="8">
        <f>IF($B213="","",IFERROR(INDEX(Audit_Log!$B$6:$B$405,MATCH($B213,Audit_Log!$A$6:$A$405,0)),""))</f>
        <v/>
      </c>
      <c r="E213" s="18">
        <f>IF($B213="","",IFERROR(INDEX(Audit_Log!$C$6:$C$405,MATCH($B213,Audit_Log!$A$6:$A$405,0)),""))</f>
        <v/>
      </c>
      <c r="F213" s="17">
        <f>IF($B213="","",IFERROR(INDEX(Audit_Log!$D$6:$D$405,MATCH($B213,Audit_Log!$A$6:$A$405,0)),""))</f>
        <v/>
      </c>
      <c r="G213" s="30">
        <f>IF($C213="","",IFERROR(INDEX(Checklist!$D$6:$D$20,MATCH($C213,Checklist!$B$6:$B$20,0)),""))</f>
        <v/>
      </c>
      <c r="H213" s="29"/>
      <c r="I213" s="29"/>
      <c r="J213" s="29"/>
      <c r="K213" s="23"/>
      <c r="L213" s="24"/>
      <c r="M213" s="28"/>
      <c r="N213" s="24"/>
      <c r="O213" s="17">
        <f>IF(OR($B213="",$L213="",$M213="Closed"),"",MAX(0,Setup!$C$5-$L213))</f>
        <v/>
      </c>
      <c r="P213" s="17">
        <f>IF($B213="","",IF($M213="Closed","CLOSED",IF($L213="","NO DUE DATE",IF(Setup!$C$5&gt;$L213,"OVERDUE",IF($L213-Setup!$C$5&lt;=7,"DUE SOON","OPEN")))))</f>
        <v/>
      </c>
      <c r="Q213" s="17">
        <f>IF($B213="","",IF($M213="Closed",0,1))</f>
        <v/>
      </c>
    </row>
    <row r="214" spans="1:17">
      <c r="A214" s="17">
        <f>IF($B214="","","F-1209")</f>
        <v/>
      </c>
      <c r="B214" s="28"/>
      <c r="C214" s="28"/>
      <c r="D214" s="8">
        <f>IF($B214="","",IFERROR(INDEX(Audit_Log!$B$6:$B$405,MATCH($B214,Audit_Log!$A$6:$A$405,0)),""))</f>
        <v/>
      </c>
      <c r="E214" s="18">
        <f>IF($B214="","",IFERROR(INDEX(Audit_Log!$C$6:$C$405,MATCH($B214,Audit_Log!$A$6:$A$405,0)),""))</f>
        <v/>
      </c>
      <c r="F214" s="17">
        <f>IF($B214="","",IFERROR(INDEX(Audit_Log!$D$6:$D$405,MATCH($B214,Audit_Log!$A$6:$A$405,0)),""))</f>
        <v/>
      </c>
      <c r="G214" s="30">
        <f>IF($C214="","",IFERROR(INDEX(Checklist!$D$6:$D$20,MATCH($C214,Checklist!$B$6:$B$20,0)),""))</f>
        <v/>
      </c>
      <c r="H214" s="29"/>
      <c r="I214" s="29"/>
      <c r="J214" s="29"/>
      <c r="K214" s="23"/>
      <c r="L214" s="24"/>
      <c r="M214" s="28"/>
      <c r="N214" s="24"/>
      <c r="O214" s="17">
        <f>IF(OR($B214="",$L214="",$M214="Closed"),"",MAX(0,Setup!$C$5-$L214))</f>
        <v/>
      </c>
      <c r="P214" s="17">
        <f>IF($B214="","",IF($M214="Closed","CLOSED",IF($L214="","NO DUE DATE",IF(Setup!$C$5&gt;$L214,"OVERDUE",IF($L214-Setup!$C$5&lt;=7,"DUE SOON","OPEN")))))</f>
        <v/>
      </c>
      <c r="Q214" s="17">
        <f>IF($B214="","",IF($M214="Closed",0,1))</f>
        <v/>
      </c>
    </row>
    <row r="215" spans="1:17">
      <c r="A215" s="17">
        <f>IF($B215="","","F-1210")</f>
        <v/>
      </c>
      <c r="B215" s="28"/>
      <c r="C215" s="28"/>
      <c r="D215" s="8">
        <f>IF($B215="","",IFERROR(INDEX(Audit_Log!$B$6:$B$405,MATCH($B215,Audit_Log!$A$6:$A$405,0)),""))</f>
        <v/>
      </c>
      <c r="E215" s="18">
        <f>IF($B215="","",IFERROR(INDEX(Audit_Log!$C$6:$C$405,MATCH($B215,Audit_Log!$A$6:$A$405,0)),""))</f>
        <v/>
      </c>
      <c r="F215" s="17">
        <f>IF($B215="","",IFERROR(INDEX(Audit_Log!$D$6:$D$405,MATCH($B215,Audit_Log!$A$6:$A$405,0)),""))</f>
        <v/>
      </c>
      <c r="G215" s="30">
        <f>IF($C215="","",IFERROR(INDEX(Checklist!$D$6:$D$20,MATCH($C215,Checklist!$B$6:$B$20,0)),""))</f>
        <v/>
      </c>
      <c r="H215" s="29"/>
      <c r="I215" s="29"/>
      <c r="J215" s="29"/>
      <c r="K215" s="23"/>
      <c r="L215" s="24"/>
      <c r="M215" s="28"/>
      <c r="N215" s="24"/>
      <c r="O215" s="17">
        <f>IF(OR($B215="",$L215="",$M215="Closed"),"",MAX(0,Setup!$C$5-$L215))</f>
        <v/>
      </c>
      <c r="P215" s="17">
        <f>IF($B215="","",IF($M215="Closed","CLOSED",IF($L215="","NO DUE DATE",IF(Setup!$C$5&gt;$L215,"OVERDUE",IF($L215-Setup!$C$5&lt;=7,"DUE SOON","OPEN")))))</f>
        <v/>
      </c>
      <c r="Q215" s="17">
        <f>IF($B215="","",IF($M215="Closed",0,1))</f>
        <v/>
      </c>
    </row>
    <row r="216" spans="1:17">
      <c r="A216" s="17">
        <f>IF($B216="","","F-1211")</f>
        <v/>
      </c>
      <c r="B216" s="28"/>
      <c r="C216" s="28"/>
      <c r="D216" s="8">
        <f>IF($B216="","",IFERROR(INDEX(Audit_Log!$B$6:$B$405,MATCH($B216,Audit_Log!$A$6:$A$405,0)),""))</f>
        <v/>
      </c>
      <c r="E216" s="18">
        <f>IF($B216="","",IFERROR(INDEX(Audit_Log!$C$6:$C$405,MATCH($B216,Audit_Log!$A$6:$A$405,0)),""))</f>
        <v/>
      </c>
      <c r="F216" s="17">
        <f>IF($B216="","",IFERROR(INDEX(Audit_Log!$D$6:$D$405,MATCH($B216,Audit_Log!$A$6:$A$405,0)),""))</f>
        <v/>
      </c>
      <c r="G216" s="30">
        <f>IF($C216="","",IFERROR(INDEX(Checklist!$D$6:$D$20,MATCH($C216,Checklist!$B$6:$B$20,0)),""))</f>
        <v/>
      </c>
      <c r="H216" s="29"/>
      <c r="I216" s="29"/>
      <c r="J216" s="29"/>
      <c r="K216" s="23"/>
      <c r="L216" s="24"/>
      <c r="M216" s="28"/>
      <c r="N216" s="24"/>
      <c r="O216" s="17">
        <f>IF(OR($B216="",$L216="",$M216="Closed"),"",MAX(0,Setup!$C$5-$L216))</f>
        <v/>
      </c>
      <c r="P216" s="17">
        <f>IF($B216="","",IF($M216="Closed","CLOSED",IF($L216="","NO DUE DATE",IF(Setup!$C$5&gt;$L216,"OVERDUE",IF($L216-Setup!$C$5&lt;=7,"DUE SOON","OPEN")))))</f>
        <v/>
      </c>
      <c r="Q216" s="17">
        <f>IF($B216="","",IF($M216="Closed",0,1))</f>
        <v/>
      </c>
    </row>
    <row r="217" spans="1:17">
      <c r="A217" s="17">
        <f>IF($B217="","","F-1212")</f>
        <v/>
      </c>
      <c r="B217" s="28"/>
      <c r="C217" s="28"/>
      <c r="D217" s="8">
        <f>IF($B217="","",IFERROR(INDEX(Audit_Log!$B$6:$B$405,MATCH($B217,Audit_Log!$A$6:$A$405,0)),""))</f>
        <v/>
      </c>
      <c r="E217" s="18">
        <f>IF($B217="","",IFERROR(INDEX(Audit_Log!$C$6:$C$405,MATCH($B217,Audit_Log!$A$6:$A$405,0)),""))</f>
        <v/>
      </c>
      <c r="F217" s="17">
        <f>IF($B217="","",IFERROR(INDEX(Audit_Log!$D$6:$D$405,MATCH($B217,Audit_Log!$A$6:$A$405,0)),""))</f>
        <v/>
      </c>
      <c r="G217" s="30">
        <f>IF($C217="","",IFERROR(INDEX(Checklist!$D$6:$D$20,MATCH($C217,Checklist!$B$6:$B$20,0)),""))</f>
        <v/>
      </c>
      <c r="H217" s="29"/>
      <c r="I217" s="29"/>
      <c r="J217" s="29"/>
      <c r="K217" s="23"/>
      <c r="L217" s="24"/>
      <c r="M217" s="28"/>
      <c r="N217" s="24"/>
      <c r="O217" s="17">
        <f>IF(OR($B217="",$L217="",$M217="Closed"),"",MAX(0,Setup!$C$5-$L217))</f>
        <v/>
      </c>
      <c r="P217" s="17">
        <f>IF($B217="","",IF($M217="Closed","CLOSED",IF($L217="","NO DUE DATE",IF(Setup!$C$5&gt;$L217,"OVERDUE",IF($L217-Setup!$C$5&lt;=7,"DUE SOON","OPEN")))))</f>
        <v/>
      </c>
      <c r="Q217" s="17">
        <f>IF($B217="","",IF($M217="Closed",0,1))</f>
        <v/>
      </c>
    </row>
    <row r="218" spans="1:17">
      <c r="A218" s="17">
        <f>IF($B218="","","F-1213")</f>
        <v/>
      </c>
      <c r="B218" s="28"/>
      <c r="C218" s="28"/>
      <c r="D218" s="8">
        <f>IF($B218="","",IFERROR(INDEX(Audit_Log!$B$6:$B$405,MATCH($B218,Audit_Log!$A$6:$A$405,0)),""))</f>
        <v/>
      </c>
      <c r="E218" s="18">
        <f>IF($B218="","",IFERROR(INDEX(Audit_Log!$C$6:$C$405,MATCH($B218,Audit_Log!$A$6:$A$405,0)),""))</f>
        <v/>
      </c>
      <c r="F218" s="17">
        <f>IF($B218="","",IFERROR(INDEX(Audit_Log!$D$6:$D$405,MATCH($B218,Audit_Log!$A$6:$A$405,0)),""))</f>
        <v/>
      </c>
      <c r="G218" s="30">
        <f>IF($C218="","",IFERROR(INDEX(Checklist!$D$6:$D$20,MATCH($C218,Checklist!$B$6:$B$20,0)),""))</f>
        <v/>
      </c>
      <c r="H218" s="29"/>
      <c r="I218" s="29"/>
      <c r="J218" s="29"/>
      <c r="K218" s="23"/>
      <c r="L218" s="24"/>
      <c r="M218" s="28"/>
      <c r="N218" s="24"/>
      <c r="O218" s="17">
        <f>IF(OR($B218="",$L218="",$M218="Closed"),"",MAX(0,Setup!$C$5-$L218))</f>
        <v/>
      </c>
      <c r="P218" s="17">
        <f>IF($B218="","",IF($M218="Closed","CLOSED",IF($L218="","NO DUE DATE",IF(Setup!$C$5&gt;$L218,"OVERDUE",IF($L218-Setup!$C$5&lt;=7,"DUE SOON","OPEN")))))</f>
        <v/>
      </c>
      <c r="Q218" s="17">
        <f>IF($B218="","",IF($M218="Closed",0,1))</f>
        <v/>
      </c>
    </row>
    <row r="219" spans="1:17">
      <c r="A219" s="17">
        <f>IF($B219="","","F-1214")</f>
        <v/>
      </c>
      <c r="B219" s="28"/>
      <c r="C219" s="28"/>
      <c r="D219" s="8">
        <f>IF($B219="","",IFERROR(INDEX(Audit_Log!$B$6:$B$405,MATCH($B219,Audit_Log!$A$6:$A$405,0)),""))</f>
        <v/>
      </c>
      <c r="E219" s="18">
        <f>IF($B219="","",IFERROR(INDEX(Audit_Log!$C$6:$C$405,MATCH($B219,Audit_Log!$A$6:$A$405,0)),""))</f>
        <v/>
      </c>
      <c r="F219" s="17">
        <f>IF($B219="","",IFERROR(INDEX(Audit_Log!$D$6:$D$405,MATCH($B219,Audit_Log!$A$6:$A$405,0)),""))</f>
        <v/>
      </c>
      <c r="G219" s="30">
        <f>IF($C219="","",IFERROR(INDEX(Checklist!$D$6:$D$20,MATCH($C219,Checklist!$B$6:$B$20,0)),""))</f>
        <v/>
      </c>
      <c r="H219" s="29"/>
      <c r="I219" s="29"/>
      <c r="J219" s="29"/>
      <c r="K219" s="23"/>
      <c r="L219" s="24"/>
      <c r="M219" s="28"/>
      <c r="N219" s="24"/>
      <c r="O219" s="17">
        <f>IF(OR($B219="",$L219="",$M219="Closed"),"",MAX(0,Setup!$C$5-$L219))</f>
        <v/>
      </c>
      <c r="P219" s="17">
        <f>IF($B219="","",IF($M219="Closed","CLOSED",IF($L219="","NO DUE DATE",IF(Setup!$C$5&gt;$L219,"OVERDUE",IF($L219-Setup!$C$5&lt;=7,"DUE SOON","OPEN")))))</f>
        <v/>
      </c>
      <c r="Q219" s="17">
        <f>IF($B219="","",IF($M219="Closed",0,1))</f>
        <v/>
      </c>
    </row>
    <row r="220" spans="1:17">
      <c r="A220" s="17">
        <f>IF($B220="","","F-1215")</f>
        <v/>
      </c>
      <c r="B220" s="28"/>
      <c r="C220" s="28"/>
      <c r="D220" s="8">
        <f>IF($B220="","",IFERROR(INDEX(Audit_Log!$B$6:$B$405,MATCH($B220,Audit_Log!$A$6:$A$405,0)),""))</f>
        <v/>
      </c>
      <c r="E220" s="18">
        <f>IF($B220="","",IFERROR(INDEX(Audit_Log!$C$6:$C$405,MATCH($B220,Audit_Log!$A$6:$A$405,0)),""))</f>
        <v/>
      </c>
      <c r="F220" s="17">
        <f>IF($B220="","",IFERROR(INDEX(Audit_Log!$D$6:$D$405,MATCH($B220,Audit_Log!$A$6:$A$405,0)),""))</f>
        <v/>
      </c>
      <c r="G220" s="30">
        <f>IF($C220="","",IFERROR(INDEX(Checklist!$D$6:$D$20,MATCH($C220,Checklist!$B$6:$B$20,0)),""))</f>
        <v/>
      </c>
      <c r="H220" s="29"/>
      <c r="I220" s="29"/>
      <c r="J220" s="29"/>
      <c r="K220" s="23"/>
      <c r="L220" s="24"/>
      <c r="M220" s="28"/>
      <c r="N220" s="24"/>
      <c r="O220" s="17">
        <f>IF(OR($B220="",$L220="",$M220="Closed"),"",MAX(0,Setup!$C$5-$L220))</f>
        <v/>
      </c>
      <c r="P220" s="17">
        <f>IF($B220="","",IF($M220="Closed","CLOSED",IF($L220="","NO DUE DATE",IF(Setup!$C$5&gt;$L220,"OVERDUE",IF($L220-Setup!$C$5&lt;=7,"DUE SOON","OPEN")))))</f>
        <v/>
      </c>
      <c r="Q220" s="17">
        <f>IF($B220="","",IF($M220="Closed",0,1))</f>
        <v/>
      </c>
    </row>
    <row r="221" spans="1:17">
      <c r="A221" s="17">
        <f>IF($B221="","","F-1216")</f>
        <v/>
      </c>
      <c r="B221" s="28"/>
      <c r="C221" s="28"/>
      <c r="D221" s="8">
        <f>IF($B221="","",IFERROR(INDEX(Audit_Log!$B$6:$B$405,MATCH($B221,Audit_Log!$A$6:$A$405,0)),""))</f>
        <v/>
      </c>
      <c r="E221" s="18">
        <f>IF($B221="","",IFERROR(INDEX(Audit_Log!$C$6:$C$405,MATCH($B221,Audit_Log!$A$6:$A$405,0)),""))</f>
        <v/>
      </c>
      <c r="F221" s="17">
        <f>IF($B221="","",IFERROR(INDEX(Audit_Log!$D$6:$D$405,MATCH($B221,Audit_Log!$A$6:$A$405,0)),""))</f>
        <v/>
      </c>
      <c r="G221" s="30">
        <f>IF($C221="","",IFERROR(INDEX(Checklist!$D$6:$D$20,MATCH($C221,Checklist!$B$6:$B$20,0)),""))</f>
        <v/>
      </c>
      <c r="H221" s="29"/>
      <c r="I221" s="29"/>
      <c r="J221" s="29"/>
      <c r="K221" s="23"/>
      <c r="L221" s="24"/>
      <c r="M221" s="28"/>
      <c r="N221" s="24"/>
      <c r="O221" s="17">
        <f>IF(OR($B221="",$L221="",$M221="Closed"),"",MAX(0,Setup!$C$5-$L221))</f>
        <v/>
      </c>
      <c r="P221" s="17">
        <f>IF($B221="","",IF($M221="Closed","CLOSED",IF($L221="","NO DUE DATE",IF(Setup!$C$5&gt;$L221,"OVERDUE",IF($L221-Setup!$C$5&lt;=7,"DUE SOON","OPEN")))))</f>
        <v/>
      </c>
      <c r="Q221" s="17">
        <f>IF($B221="","",IF($M221="Closed",0,1))</f>
        <v/>
      </c>
    </row>
    <row r="222" spans="1:17">
      <c r="A222" s="17">
        <f>IF($B222="","","F-1217")</f>
        <v/>
      </c>
      <c r="B222" s="28"/>
      <c r="C222" s="28"/>
      <c r="D222" s="8">
        <f>IF($B222="","",IFERROR(INDEX(Audit_Log!$B$6:$B$405,MATCH($B222,Audit_Log!$A$6:$A$405,0)),""))</f>
        <v/>
      </c>
      <c r="E222" s="18">
        <f>IF($B222="","",IFERROR(INDEX(Audit_Log!$C$6:$C$405,MATCH($B222,Audit_Log!$A$6:$A$405,0)),""))</f>
        <v/>
      </c>
      <c r="F222" s="17">
        <f>IF($B222="","",IFERROR(INDEX(Audit_Log!$D$6:$D$405,MATCH($B222,Audit_Log!$A$6:$A$405,0)),""))</f>
        <v/>
      </c>
      <c r="G222" s="30">
        <f>IF($C222="","",IFERROR(INDEX(Checklist!$D$6:$D$20,MATCH($C222,Checklist!$B$6:$B$20,0)),""))</f>
        <v/>
      </c>
      <c r="H222" s="29"/>
      <c r="I222" s="29"/>
      <c r="J222" s="29"/>
      <c r="K222" s="23"/>
      <c r="L222" s="24"/>
      <c r="M222" s="28"/>
      <c r="N222" s="24"/>
      <c r="O222" s="17">
        <f>IF(OR($B222="",$L222="",$M222="Closed"),"",MAX(0,Setup!$C$5-$L222))</f>
        <v/>
      </c>
      <c r="P222" s="17">
        <f>IF($B222="","",IF($M222="Closed","CLOSED",IF($L222="","NO DUE DATE",IF(Setup!$C$5&gt;$L222,"OVERDUE",IF($L222-Setup!$C$5&lt;=7,"DUE SOON","OPEN")))))</f>
        <v/>
      </c>
      <c r="Q222" s="17">
        <f>IF($B222="","",IF($M222="Closed",0,1))</f>
        <v/>
      </c>
    </row>
    <row r="223" spans="1:17">
      <c r="A223" s="17">
        <f>IF($B223="","","F-1218")</f>
        <v/>
      </c>
      <c r="B223" s="28"/>
      <c r="C223" s="28"/>
      <c r="D223" s="8">
        <f>IF($B223="","",IFERROR(INDEX(Audit_Log!$B$6:$B$405,MATCH($B223,Audit_Log!$A$6:$A$405,0)),""))</f>
        <v/>
      </c>
      <c r="E223" s="18">
        <f>IF($B223="","",IFERROR(INDEX(Audit_Log!$C$6:$C$405,MATCH($B223,Audit_Log!$A$6:$A$405,0)),""))</f>
        <v/>
      </c>
      <c r="F223" s="17">
        <f>IF($B223="","",IFERROR(INDEX(Audit_Log!$D$6:$D$405,MATCH($B223,Audit_Log!$A$6:$A$405,0)),""))</f>
        <v/>
      </c>
      <c r="G223" s="30">
        <f>IF($C223="","",IFERROR(INDEX(Checklist!$D$6:$D$20,MATCH($C223,Checklist!$B$6:$B$20,0)),""))</f>
        <v/>
      </c>
      <c r="H223" s="29"/>
      <c r="I223" s="29"/>
      <c r="J223" s="29"/>
      <c r="K223" s="23"/>
      <c r="L223" s="24"/>
      <c r="M223" s="28"/>
      <c r="N223" s="24"/>
      <c r="O223" s="17">
        <f>IF(OR($B223="",$L223="",$M223="Closed"),"",MAX(0,Setup!$C$5-$L223))</f>
        <v/>
      </c>
      <c r="P223" s="17">
        <f>IF($B223="","",IF($M223="Closed","CLOSED",IF($L223="","NO DUE DATE",IF(Setup!$C$5&gt;$L223,"OVERDUE",IF($L223-Setup!$C$5&lt;=7,"DUE SOON","OPEN")))))</f>
        <v/>
      </c>
      <c r="Q223" s="17">
        <f>IF($B223="","",IF($M223="Closed",0,1))</f>
        <v/>
      </c>
    </row>
    <row r="224" spans="1:17">
      <c r="A224" s="17">
        <f>IF($B224="","","F-1219")</f>
        <v/>
      </c>
      <c r="B224" s="28"/>
      <c r="C224" s="28"/>
      <c r="D224" s="8">
        <f>IF($B224="","",IFERROR(INDEX(Audit_Log!$B$6:$B$405,MATCH($B224,Audit_Log!$A$6:$A$405,0)),""))</f>
        <v/>
      </c>
      <c r="E224" s="18">
        <f>IF($B224="","",IFERROR(INDEX(Audit_Log!$C$6:$C$405,MATCH($B224,Audit_Log!$A$6:$A$405,0)),""))</f>
        <v/>
      </c>
      <c r="F224" s="17">
        <f>IF($B224="","",IFERROR(INDEX(Audit_Log!$D$6:$D$405,MATCH($B224,Audit_Log!$A$6:$A$405,0)),""))</f>
        <v/>
      </c>
      <c r="G224" s="30">
        <f>IF($C224="","",IFERROR(INDEX(Checklist!$D$6:$D$20,MATCH($C224,Checklist!$B$6:$B$20,0)),""))</f>
        <v/>
      </c>
      <c r="H224" s="29"/>
      <c r="I224" s="29"/>
      <c r="J224" s="29"/>
      <c r="K224" s="23"/>
      <c r="L224" s="24"/>
      <c r="M224" s="28"/>
      <c r="N224" s="24"/>
      <c r="O224" s="17">
        <f>IF(OR($B224="",$L224="",$M224="Closed"),"",MAX(0,Setup!$C$5-$L224))</f>
        <v/>
      </c>
      <c r="P224" s="17">
        <f>IF($B224="","",IF($M224="Closed","CLOSED",IF($L224="","NO DUE DATE",IF(Setup!$C$5&gt;$L224,"OVERDUE",IF($L224-Setup!$C$5&lt;=7,"DUE SOON","OPEN")))))</f>
        <v/>
      </c>
      <c r="Q224" s="17">
        <f>IF($B224="","",IF($M224="Closed",0,1))</f>
        <v/>
      </c>
    </row>
    <row r="225" spans="1:17">
      <c r="A225" s="17">
        <f>IF($B225="","","F-1220")</f>
        <v/>
      </c>
      <c r="B225" s="28"/>
      <c r="C225" s="28"/>
      <c r="D225" s="8">
        <f>IF($B225="","",IFERROR(INDEX(Audit_Log!$B$6:$B$405,MATCH($B225,Audit_Log!$A$6:$A$405,0)),""))</f>
        <v/>
      </c>
      <c r="E225" s="18">
        <f>IF($B225="","",IFERROR(INDEX(Audit_Log!$C$6:$C$405,MATCH($B225,Audit_Log!$A$6:$A$405,0)),""))</f>
        <v/>
      </c>
      <c r="F225" s="17">
        <f>IF($B225="","",IFERROR(INDEX(Audit_Log!$D$6:$D$405,MATCH($B225,Audit_Log!$A$6:$A$405,0)),""))</f>
        <v/>
      </c>
      <c r="G225" s="30">
        <f>IF($C225="","",IFERROR(INDEX(Checklist!$D$6:$D$20,MATCH($C225,Checklist!$B$6:$B$20,0)),""))</f>
        <v/>
      </c>
      <c r="H225" s="29"/>
      <c r="I225" s="29"/>
      <c r="J225" s="29"/>
      <c r="K225" s="23"/>
      <c r="L225" s="24"/>
      <c r="M225" s="28"/>
      <c r="N225" s="24"/>
      <c r="O225" s="17">
        <f>IF(OR($B225="",$L225="",$M225="Closed"),"",MAX(0,Setup!$C$5-$L225))</f>
        <v/>
      </c>
      <c r="P225" s="17">
        <f>IF($B225="","",IF($M225="Closed","CLOSED",IF($L225="","NO DUE DATE",IF(Setup!$C$5&gt;$L225,"OVERDUE",IF($L225-Setup!$C$5&lt;=7,"DUE SOON","OPEN")))))</f>
        <v/>
      </c>
      <c r="Q225" s="17">
        <f>IF($B225="","",IF($M225="Closed",0,1))</f>
        <v/>
      </c>
    </row>
    <row r="226" spans="1:17">
      <c r="A226" s="17">
        <f>IF($B226="","","F-1221")</f>
        <v/>
      </c>
      <c r="B226" s="28"/>
      <c r="C226" s="28"/>
      <c r="D226" s="8">
        <f>IF($B226="","",IFERROR(INDEX(Audit_Log!$B$6:$B$405,MATCH($B226,Audit_Log!$A$6:$A$405,0)),""))</f>
        <v/>
      </c>
      <c r="E226" s="18">
        <f>IF($B226="","",IFERROR(INDEX(Audit_Log!$C$6:$C$405,MATCH($B226,Audit_Log!$A$6:$A$405,0)),""))</f>
        <v/>
      </c>
      <c r="F226" s="17">
        <f>IF($B226="","",IFERROR(INDEX(Audit_Log!$D$6:$D$405,MATCH($B226,Audit_Log!$A$6:$A$405,0)),""))</f>
        <v/>
      </c>
      <c r="G226" s="30">
        <f>IF($C226="","",IFERROR(INDEX(Checklist!$D$6:$D$20,MATCH($C226,Checklist!$B$6:$B$20,0)),""))</f>
        <v/>
      </c>
      <c r="H226" s="29"/>
      <c r="I226" s="29"/>
      <c r="J226" s="29"/>
      <c r="K226" s="23"/>
      <c r="L226" s="24"/>
      <c r="M226" s="28"/>
      <c r="N226" s="24"/>
      <c r="O226" s="17">
        <f>IF(OR($B226="",$L226="",$M226="Closed"),"",MAX(0,Setup!$C$5-$L226))</f>
        <v/>
      </c>
      <c r="P226" s="17">
        <f>IF($B226="","",IF($M226="Closed","CLOSED",IF($L226="","NO DUE DATE",IF(Setup!$C$5&gt;$L226,"OVERDUE",IF($L226-Setup!$C$5&lt;=7,"DUE SOON","OPEN")))))</f>
        <v/>
      </c>
      <c r="Q226" s="17">
        <f>IF($B226="","",IF($M226="Closed",0,1))</f>
        <v/>
      </c>
    </row>
    <row r="227" spans="1:17">
      <c r="A227" s="17">
        <f>IF($B227="","","F-1222")</f>
        <v/>
      </c>
      <c r="B227" s="28"/>
      <c r="C227" s="28"/>
      <c r="D227" s="8">
        <f>IF($B227="","",IFERROR(INDEX(Audit_Log!$B$6:$B$405,MATCH($B227,Audit_Log!$A$6:$A$405,0)),""))</f>
        <v/>
      </c>
      <c r="E227" s="18">
        <f>IF($B227="","",IFERROR(INDEX(Audit_Log!$C$6:$C$405,MATCH($B227,Audit_Log!$A$6:$A$405,0)),""))</f>
        <v/>
      </c>
      <c r="F227" s="17">
        <f>IF($B227="","",IFERROR(INDEX(Audit_Log!$D$6:$D$405,MATCH($B227,Audit_Log!$A$6:$A$405,0)),""))</f>
        <v/>
      </c>
      <c r="G227" s="30">
        <f>IF($C227="","",IFERROR(INDEX(Checklist!$D$6:$D$20,MATCH($C227,Checklist!$B$6:$B$20,0)),""))</f>
        <v/>
      </c>
      <c r="H227" s="29"/>
      <c r="I227" s="29"/>
      <c r="J227" s="29"/>
      <c r="K227" s="23"/>
      <c r="L227" s="24"/>
      <c r="M227" s="28"/>
      <c r="N227" s="24"/>
      <c r="O227" s="17">
        <f>IF(OR($B227="",$L227="",$M227="Closed"),"",MAX(0,Setup!$C$5-$L227))</f>
        <v/>
      </c>
      <c r="P227" s="17">
        <f>IF($B227="","",IF($M227="Closed","CLOSED",IF($L227="","NO DUE DATE",IF(Setup!$C$5&gt;$L227,"OVERDUE",IF($L227-Setup!$C$5&lt;=7,"DUE SOON","OPEN")))))</f>
        <v/>
      </c>
      <c r="Q227" s="17">
        <f>IF($B227="","",IF($M227="Closed",0,1))</f>
        <v/>
      </c>
    </row>
    <row r="228" spans="1:17">
      <c r="A228" s="17">
        <f>IF($B228="","","F-1223")</f>
        <v/>
      </c>
      <c r="B228" s="28"/>
      <c r="C228" s="28"/>
      <c r="D228" s="8">
        <f>IF($B228="","",IFERROR(INDEX(Audit_Log!$B$6:$B$405,MATCH($B228,Audit_Log!$A$6:$A$405,0)),""))</f>
        <v/>
      </c>
      <c r="E228" s="18">
        <f>IF($B228="","",IFERROR(INDEX(Audit_Log!$C$6:$C$405,MATCH($B228,Audit_Log!$A$6:$A$405,0)),""))</f>
        <v/>
      </c>
      <c r="F228" s="17">
        <f>IF($B228="","",IFERROR(INDEX(Audit_Log!$D$6:$D$405,MATCH($B228,Audit_Log!$A$6:$A$405,0)),""))</f>
        <v/>
      </c>
      <c r="G228" s="30">
        <f>IF($C228="","",IFERROR(INDEX(Checklist!$D$6:$D$20,MATCH($C228,Checklist!$B$6:$B$20,0)),""))</f>
        <v/>
      </c>
      <c r="H228" s="29"/>
      <c r="I228" s="29"/>
      <c r="J228" s="29"/>
      <c r="K228" s="23"/>
      <c r="L228" s="24"/>
      <c r="M228" s="28"/>
      <c r="N228" s="24"/>
      <c r="O228" s="17">
        <f>IF(OR($B228="",$L228="",$M228="Closed"),"",MAX(0,Setup!$C$5-$L228))</f>
        <v/>
      </c>
      <c r="P228" s="17">
        <f>IF($B228="","",IF($M228="Closed","CLOSED",IF($L228="","NO DUE DATE",IF(Setup!$C$5&gt;$L228,"OVERDUE",IF($L228-Setup!$C$5&lt;=7,"DUE SOON","OPEN")))))</f>
        <v/>
      </c>
      <c r="Q228" s="17">
        <f>IF($B228="","",IF($M228="Closed",0,1))</f>
        <v/>
      </c>
    </row>
    <row r="229" spans="1:17">
      <c r="A229" s="17">
        <f>IF($B229="","","F-1224")</f>
        <v/>
      </c>
      <c r="B229" s="28"/>
      <c r="C229" s="28"/>
      <c r="D229" s="8">
        <f>IF($B229="","",IFERROR(INDEX(Audit_Log!$B$6:$B$405,MATCH($B229,Audit_Log!$A$6:$A$405,0)),""))</f>
        <v/>
      </c>
      <c r="E229" s="18">
        <f>IF($B229="","",IFERROR(INDEX(Audit_Log!$C$6:$C$405,MATCH($B229,Audit_Log!$A$6:$A$405,0)),""))</f>
        <v/>
      </c>
      <c r="F229" s="17">
        <f>IF($B229="","",IFERROR(INDEX(Audit_Log!$D$6:$D$405,MATCH($B229,Audit_Log!$A$6:$A$405,0)),""))</f>
        <v/>
      </c>
      <c r="G229" s="30">
        <f>IF($C229="","",IFERROR(INDEX(Checklist!$D$6:$D$20,MATCH($C229,Checklist!$B$6:$B$20,0)),""))</f>
        <v/>
      </c>
      <c r="H229" s="29"/>
      <c r="I229" s="29"/>
      <c r="J229" s="29"/>
      <c r="K229" s="23"/>
      <c r="L229" s="24"/>
      <c r="M229" s="28"/>
      <c r="N229" s="24"/>
      <c r="O229" s="17">
        <f>IF(OR($B229="",$L229="",$M229="Closed"),"",MAX(0,Setup!$C$5-$L229))</f>
        <v/>
      </c>
      <c r="P229" s="17">
        <f>IF($B229="","",IF($M229="Closed","CLOSED",IF($L229="","NO DUE DATE",IF(Setup!$C$5&gt;$L229,"OVERDUE",IF($L229-Setup!$C$5&lt;=7,"DUE SOON","OPEN")))))</f>
        <v/>
      </c>
      <c r="Q229" s="17">
        <f>IF($B229="","",IF($M229="Closed",0,1))</f>
        <v/>
      </c>
    </row>
    <row r="230" spans="1:17">
      <c r="A230" s="17">
        <f>IF($B230="","","F-1225")</f>
        <v/>
      </c>
      <c r="B230" s="28"/>
      <c r="C230" s="28"/>
      <c r="D230" s="8">
        <f>IF($B230="","",IFERROR(INDEX(Audit_Log!$B$6:$B$405,MATCH($B230,Audit_Log!$A$6:$A$405,0)),""))</f>
        <v/>
      </c>
      <c r="E230" s="18">
        <f>IF($B230="","",IFERROR(INDEX(Audit_Log!$C$6:$C$405,MATCH($B230,Audit_Log!$A$6:$A$405,0)),""))</f>
        <v/>
      </c>
      <c r="F230" s="17">
        <f>IF($B230="","",IFERROR(INDEX(Audit_Log!$D$6:$D$405,MATCH($B230,Audit_Log!$A$6:$A$405,0)),""))</f>
        <v/>
      </c>
      <c r="G230" s="30">
        <f>IF($C230="","",IFERROR(INDEX(Checklist!$D$6:$D$20,MATCH($C230,Checklist!$B$6:$B$20,0)),""))</f>
        <v/>
      </c>
      <c r="H230" s="29"/>
      <c r="I230" s="29"/>
      <c r="J230" s="29"/>
      <c r="K230" s="23"/>
      <c r="L230" s="24"/>
      <c r="M230" s="28"/>
      <c r="N230" s="24"/>
      <c r="O230" s="17">
        <f>IF(OR($B230="",$L230="",$M230="Closed"),"",MAX(0,Setup!$C$5-$L230))</f>
        <v/>
      </c>
      <c r="P230" s="17">
        <f>IF($B230="","",IF($M230="Closed","CLOSED",IF($L230="","NO DUE DATE",IF(Setup!$C$5&gt;$L230,"OVERDUE",IF($L230-Setup!$C$5&lt;=7,"DUE SOON","OPEN")))))</f>
        <v/>
      </c>
      <c r="Q230" s="17">
        <f>IF($B230="","",IF($M230="Closed",0,1))</f>
        <v/>
      </c>
    </row>
    <row r="231" spans="1:17">
      <c r="A231" s="17">
        <f>IF($B231="","","F-1226")</f>
        <v/>
      </c>
      <c r="B231" s="28"/>
      <c r="C231" s="28"/>
      <c r="D231" s="8">
        <f>IF($B231="","",IFERROR(INDEX(Audit_Log!$B$6:$B$405,MATCH($B231,Audit_Log!$A$6:$A$405,0)),""))</f>
        <v/>
      </c>
      <c r="E231" s="18">
        <f>IF($B231="","",IFERROR(INDEX(Audit_Log!$C$6:$C$405,MATCH($B231,Audit_Log!$A$6:$A$405,0)),""))</f>
        <v/>
      </c>
      <c r="F231" s="17">
        <f>IF($B231="","",IFERROR(INDEX(Audit_Log!$D$6:$D$405,MATCH($B231,Audit_Log!$A$6:$A$405,0)),""))</f>
        <v/>
      </c>
      <c r="G231" s="30">
        <f>IF($C231="","",IFERROR(INDEX(Checklist!$D$6:$D$20,MATCH($C231,Checklist!$B$6:$B$20,0)),""))</f>
        <v/>
      </c>
      <c r="H231" s="29"/>
      <c r="I231" s="29"/>
      <c r="J231" s="29"/>
      <c r="K231" s="23"/>
      <c r="L231" s="24"/>
      <c r="M231" s="28"/>
      <c r="N231" s="24"/>
      <c r="O231" s="17">
        <f>IF(OR($B231="",$L231="",$M231="Closed"),"",MAX(0,Setup!$C$5-$L231))</f>
        <v/>
      </c>
      <c r="P231" s="17">
        <f>IF($B231="","",IF($M231="Closed","CLOSED",IF($L231="","NO DUE DATE",IF(Setup!$C$5&gt;$L231,"OVERDUE",IF($L231-Setup!$C$5&lt;=7,"DUE SOON","OPEN")))))</f>
        <v/>
      </c>
      <c r="Q231" s="17">
        <f>IF($B231="","",IF($M231="Closed",0,1))</f>
        <v/>
      </c>
    </row>
    <row r="232" spans="1:17">
      <c r="A232" s="17">
        <f>IF($B232="","","F-1227")</f>
        <v/>
      </c>
      <c r="B232" s="28"/>
      <c r="C232" s="28"/>
      <c r="D232" s="8">
        <f>IF($B232="","",IFERROR(INDEX(Audit_Log!$B$6:$B$405,MATCH($B232,Audit_Log!$A$6:$A$405,0)),""))</f>
        <v/>
      </c>
      <c r="E232" s="18">
        <f>IF($B232="","",IFERROR(INDEX(Audit_Log!$C$6:$C$405,MATCH($B232,Audit_Log!$A$6:$A$405,0)),""))</f>
        <v/>
      </c>
      <c r="F232" s="17">
        <f>IF($B232="","",IFERROR(INDEX(Audit_Log!$D$6:$D$405,MATCH($B232,Audit_Log!$A$6:$A$405,0)),""))</f>
        <v/>
      </c>
      <c r="G232" s="30">
        <f>IF($C232="","",IFERROR(INDEX(Checklist!$D$6:$D$20,MATCH($C232,Checklist!$B$6:$B$20,0)),""))</f>
        <v/>
      </c>
      <c r="H232" s="29"/>
      <c r="I232" s="29"/>
      <c r="J232" s="29"/>
      <c r="K232" s="23"/>
      <c r="L232" s="24"/>
      <c r="M232" s="28"/>
      <c r="N232" s="24"/>
      <c r="O232" s="17">
        <f>IF(OR($B232="",$L232="",$M232="Closed"),"",MAX(0,Setup!$C$5-$L232))</f>
        <v/>
      </c>
      <c r="P232" s="17">
        <f>IF($B232="","",IF($M232="Closed","CLOSED",IF($L232="","NO DUE DATE",IF(Setup!$C$5&gt;$L232,"OVERDUE",IF($L232-Setup!$C$5&lt;=7,"DUE SOON","OPEN")))))</f>
        <v/>
      </c>
      <c r="Q232" s="17">
        <f>IF($B232="","",IF($M232="Closed",0,1))</f>
        <v/>
      </c>
    </row>
    <row r="233" spans="1:17">
      <c r="A233" s="17">
        <f>IF($B233="","","F-1228")</f>
        <v/>
      </c>
      <c r="B233" s="28"/>
      <c r="C233" s="28"/>
      <c r="D233" s="8">
        <f>IF($B233="","",IFERROR(INDEX(Audit_Log!$B$6:$B$405,MATCH($B233,Audit_Log!$A$6:$A$405,0)),""))</f>
        <v/>
      </c>
      <c r="E233" s="18">
        <f>IF($B233="","",IFERROR(INDEX(Audit_Log!$C$6:$C$405,MATCH($B233,Audit_Log!$A$6:$A$405,0)),""))</f>
        <v/>
      </c>
      <c r="F233" s="17">
        <f>IF($B233="","",IFERROR(INDEX(Audit_Log!$D$6:$D$405,MATCH($B233,Audit_Log!$A$6:$A$405,0)),""))</f>
        <v/>
      </c>
      <c r="G233" s="30">
        <f>IF($C233="","",IFERROR(INDEX(Checklist!$D$6:$D$20,MATCH($C233,Checklist!$B$6:$B$20,0)),""))</f>
        <v/>
      </c>
      <c r="H233" s="29"/>
      <c r="I233" s="29"/>
      <c r="J233" s="29"/>
      <c r="K233" s="23"/>
      <c r="L233" s="24"/>
      <c r="M233" s="28"/>
      <c r="N233" s="24"/>
      <c r="O233" s="17">
        <f>IF(OR($B233="",$L233="",$M233="Closed"),"",MAX(0,Setup!$C$5-$L233))</f>
        <v/>
      </c>
      <c r="P233" s="17">
        <f>IF($B233="","",IF($M233="Closed","CLOSED",IF($L233="","NO DUE DATE",IF(Setup!$C$5&gt;$L233,"OVERDUE",IF($L233-Setup!$C$5&lt;=7,"DUE SOON","OPEN")))))</f>
        <v/>
      </c>
      <c r="Q233" s="17">
        <f>IF($B233="","",IF($M233="Closed",0,1))</f>
        <v/>
      </c>
    </row>
    <row r="234" spans="1:17">
      <c r="A234" s="17">
        <f>IF($B234="","","F-1229")</f>
        <v/>
      </c>
      <c r="B234" s="28"/>
      <c r="C234" s="28"/>
      <c r="D234" s="8">
        <f>IF($B234="","",IFERROR(INDEX(Audit_Log!$B$6:$B$405,MATCH($B234,Audit_Log!$A$6:$A$405,0)),""))</f>
        <v/>
      </c>
      <c r="E234" s="18">
        <f>IF($B234="","",IFERROR(INDEX(Audit_Log!$C$6:$C$405,MATCH($B234,Audit_Log!$A$6:$A$405,0)),""))</f>
        <v/>
      </c>
      <c r="F234" s="17">
        <f>IF($B234="","",IFERROR(INDEX(Audit_Log!$D$6:$D$405,MATCH($B234,Audit_Log!$A$6:$A$405,0)),""))</f>
        <v/>
      </c>
      <c r="G234" s="30">
        <f>IF($C234="","",IFERROR(INDEX(Checklist!$D$6:$D$20,MATCH($C234,Checklist!$B$6:$B$20,0)),""))</f>
        <v/>
      </c>
      <c r="H234" s="29"/>
      <c r="I234" s="29"/>
      <c r="J234" s="29"/>
      <c r="K234" s="23"/>
      <c r="L234" s="24"/>
      <c r="M234" s="28"/>
      <c r="N234" s="24"/>
      <c r="O234" s="17">
        <f>IF(OR($B234="",$L234="",$M234="Closed"),"",MAX(0,Setup!$C$5-$L234))</f>
        <v/>
      </c>
      <c r="P234" s="17">
        <f>IF($B234="","",IF($M234="Closed","CLOSED",IF($L234="","NO DUE DATE",IF(Setup!$C$5&gt;$L234,"OVERDUE",IF($L234-Setup!$C$5&lt;=7,"DUE SOON","OPEN")))))</f>
        <v/>
      </c>
      <c r="Q234" s="17">
        <f>IF($B234="","",IF($M234="Closed",0,1))</f>
        <v/>
      </c>
    </row>
    <row r="235" spans="1:17">
      <c r="A235" s="17">
        <f>IF($B235="","","F-1230")</f>
        <v/>
      </c>
      <c r="B235" s="28"/>
      <c r="C235" s="28"/>
      <c r="D235" s="8">
        <f>IF($B235="","",IFERROR(INDEX(Audit_Log!$B$6:$B$405,MATCH($B235,Audit_Log!$A$6:$A$405,0)),""))</f>
        <v/>
      </c>
      <c r="E235" s="18">
        <f>IF($B235="","",IFERROR(INDEX(Audit_Log!$C$6:$C$405,MATCH($B235,Audit_Log!$A$6:$A$405,0)),""))</f>
        <v/>
      </c>
      <c r="F235" s="17">
        <f>IF($B235="","",IFERROR(INDEX(Audit_Log!$D$6:$D$405,MATCH($B235,Audit_Log!$A$6:$A$405,0)),""))</f>
        <v/>
      </c>
      <c r="G235" s="30">
        <f>IF($C235="","",IFERROR(INDEX(Checklist!$D$6:$D$20,MATCH($C235,Checklist!$B$6:$B$20,0)),""))</f>
        <v/>
      </c>
      <c r="H235" s="29"/>
      <c r="I235" s="29"/>
      <c r="J235" s="29"/>
      <c r="K235" s="23"/>
      <c r="L235" s="24"/>
      <c r="M235" s="28"/>
      <c r="N235" s="24"/>
      <c r="O235" s="17">
        <f>IF(OR($B235="",$L235="",$M235="Closed"),"",MAX(0,Setup!$C$5-$L235))</f>
        <v/>
      </c>
      <c r="P235" s="17">
        <f>IF($B235="","",IF($M235="Closed","CLOSED",IF($L235="","NO DUE DATE",IF(Setup!$C$5&gt;$L235,"OVERDUE",IF($L235-Setup!$C$5&lt;=7,"DUE SOON","OPEN")))))</f>
        <v/>
      </c>
      <c r="Q235" s="17">
        <f>IF($B235="","",IF($M235="Closed",0,1))</f>
        <v/>
      </c>
    </row>
    <row r="236" spans="1:17">
      <c r="A236" s="17">
        <f>IF($B236="","","F-1231")</f>
        <v/>
      </c>
      <c r="B236" s="28"/>
      <c r="C236" s="28"/>
      <c r="D236" s="8">
        <f>IF($B236="","",IFERROR(INDEX(Audit_Log!$B$6:$B$405,MATCH($B236,Audit_Log!$A$6:$A$405,0)),""))</f>
        <v/>
      </c>
      <c r="E236" s="18">
        <f>IF($B236="","",IFERROR(INDEX(Audit_Log!$C$6:$C$405,MATCH($B236,Audit_Log!$A$6:$A$405,0)),""))</f>
        <v/>
      </c>
      <c r="F236" s="17">
        <f>IF($B236="","",IFERROR(INDEX(Audit_Log!$D$6:$D$405,MATCH($B236,Audit_Log!$A$6:$A$405,0)),""))</f>
        <v/>
      </c>
      <c r="G236" s="30">
        <f>IF($C236="","",IFERROR(INDEX(Checklist!$D$6:$D$20,MATCH($C236,Checklist!$B$6:$B$20,0)),""))</f>
        <v/>
      </c>
      <c r="H236" s="29"/>
      <c r="I236" s="29"/>
      <c r="J236" s="29"/>
      <c r="K236" s="23"/>
      <c r="L236" s="24"/>
      <c r="M236" s="28"/>
      <c r="N236" s="24"/>
      <c r="O236" s="17">
        <f>IF(OR($B236="",$L236="",$M236="Closed"),"",MAX(0,Setup!$C$5-$L236))</f>
        <v/>
      </c>
      <c r="P236" s="17">
        <f>IF($B236="","",IF($M236="Closed","CLOSED",IF($L236="","NO DUE DATE",IF(Setup!$C$5&gt;$L236,"OVERDUE",IF($L236-Setup!$C$5&lt;=7,"DUE SOON","OPEN")))))</f>
        <v/>
      </c>
      <c r="Q236" s="17">
        <f>IF($B236="","",IF($M236="Closed",0,1))</f>
        <v/>
      </c>
    </row>
    <row r="237" spans="1:17">
      <c r="A237" s="17">
        <f>IF($B237="","","F-1232")</f>
        <v/>
      </c>
      <c r="B237" s="28"/>
      <c r="C237" s="28"/>
      <c r="D237" s="8">
        <f>IF($B237="","",IFERROR(INDEX(Audit_Log!$B$6:$B$405,MATCH($B237,Audit_Log!$A$6:$A$405,0)),""))</f>
        <v/>
      </c>
      <c r="E237" s="18">
        <f>IF($B237="","",IFERROR(INDEX(Audit_Log!$C$6:$C$405,MATCH($B237,Audit_Log!$A$6:$A$405,0)),""))</f>
        <v/>
      </c>
      <c r="F237" s="17">
        <f>IF($B237="","",IFERROR(INDEX(Audit_Log!$D$6:$D$405,MATCH($B237,Audit_Log!$A$6:$A$405,0)),""))</f>
        <v/>
      </c>
      <c r="G237" s="30">
        <f>IF($C237="","",IFERROR(INDEX(Checklist!$D$6:$D$20,MATCH($C237,Checklist!$B$6:$B$20,0)),""))</f>
        <v/>
      </c>
      <c r="H237" s="29"/>
      <c r="I237" s="29"/>
      <c r="J237" s="29"/>
      <c r="K237" s="23"/>
      <c r="L237" s="24"/>
      <c r="M237" s="28"/>
      <c r="N237" s="24"/>
      <c r="O237" s="17">
        <f>IF(OR($B237="",$L237="",$M237="Closed"),"",MAX(0,Setup!$C$5-$L237))</f>
        <v/>
      </c>
      <c r="P237" s="17">
        <f>IF($B237="","",IF($M237="Closed","CLOSED",IF($L237="","NO DUE DATE",IF(Setup!$C$5&gt;$L237,"OVERDUE",IF($L237-Setup!$C$5&lt;=7,"DUE SOON","OPEN")))))</f>
        <v/>
      </c>
      <c r="Q237" s="17">
        <f>IF($B237="","",IF($M237="Closed",0,1))</f>
        <v/>
      </c>
    </row>
    <row r="238" spans="1:17">
      <c r="A238" s="17">
        <f>IF($B238="","","F-1233")</f>
        <v/>
      </c>
      <c r="B238" s="28"/>
      <c r="C238" s="28"/>
      <c r="D238" s="8">
        <f>IF($B238="","",IFERROR(INDEX(Audit_Log!$B$6:$B$405,MATCH($B238,Audit_Log!$A$6:$A$405,0)),""))</f>
        <v/>
      </c>
      <c r="E238" s="18">
        <f>IF($B238="","",IFERROR(INDEX(Audit_Log!$C$6:$C$405,MATCH($B238,Audit_Log!$A$6:$A$405,0)),""))</f>
        <v/>
      </c>
      <c r="F238" s="17">
        <f>IF($B238="","",IFERROR(INDEX(Audit_Log!$D$6:$D$405,MATCH($B238,Audit_Log!$A$6:$A$405,0)),""))</f>
        <v/>
      </c>
      <c r="G238" s="30">
        <f>IF($C238="","",IFERROR(INDEX(Checklist!$D$6:$D$20,MATCH($C238,Checklist!$B$6:$B$20,0)),""))</f>
        <v/>
      </c>
      <c r="H238" s="29"/>
      <c r="I238" s="29"/>
      <c r="J238" s="29"/>
      <c r="K238" s="23"/>
      <c r="L238" s="24"/>
      <c r="M238" s="28"/>
      <c r="N238" s="24"/>
      <c r="O238" s="17">
        <f>IF(OR($B238="",$L238="",$M238="Closed"),"",MAX(0,Setup!$C$5-$L238))</f>
        <v/>
      </c>
      <c r="P238" s="17">
        <f>IF($B238="","",IF($M238="Closed","CLOSED",IF($L238="","NO DUE DATE",IF(Setup!$C$5&gt;$L238,"OVERDUE",IF($L238-Setup!$C$5&lt;=7,"DUE SOON","OPEN")))))</f>
        <v/>
      </c>
      <c r="Q238" s="17">
        <f>IF($B238="","",IF($M238="Closed",0,1))</f>
        <v/>
      </c>
    </row>
    <row r="239" spans="1:17">
      <c r="A239" s="17">
        <f>IF($B239="","","F-1234")</f>
        <v/>
      </c>
      <c r="B239" s="28"/>
      <c r="C239" s="28"/>
      <c r="D239" s="8">
        <f>IF($B239="","",IFERROR(INDEX(Audit_Log!$B$6:$B$405,MATCH($B239,Audit_Log!$A$6:$A$405,0)),""))</f>
        <v/>
      </c>
      <c r="E239" s="18">
        <f>IF($B239="","",IFERROR(INDEX(Audit_Log!$C$6:$C$405,MATCH($B239,Audit_Log!$A$6:$A$405,0)),""))</f>
        <v/>
      </c>
      <c r="F239" s="17">
        <f>IF($B239="","",IFERROR(INDEX(Audit_Log!$D$6:$D$405,MATCH($B239,Audit_Log!$A$6:$A$405,0)),""))</f>
        <v/>
      </c>
      <c r="G239" s="30">
        <f>IF($C239="","",IFERROR(INDEX(Checklist!$D$6:$D$20,MATCH($C239,Checklist!$B$6:$B$20,0)),""))</f>
        <v/>
      </c>
      <c r="H239" s="29"/>
      <c r="I239" s="29"/>
      <c r="J239" s="29"/>
      <c r="K239" s="23"/>
      <c r="L239" s="24"/>
      <c r="M239" s="28"/>
      <c r="N239" s="24"/>
      <c r="O239" s="17">
        <f>IF(OR($B239="",$L239="",$M239="Closed"),"",MAX(0,Setup!$C$5-$L239))</f>
        <v/>
      </c>
      <c r="P239" s="17">
        <f>IF($B239="","",IF($M239="Closed","CLOSED",IF($L239="","NO DUE DATE",IF(Setup!$C$5&gt;$L239,"OVERDUE",IF($L239-Setup!$C$5&lt;=7,"DUE SOON","OPEN")))))</f>
        <v/>
      </c>
      <c r="Q239" s="17">
        <f>IF($B239="","",IF($M239="Closed",0,1))</f>
        <v/>
      </c>
    </row>
    <row r="240" spans="1:17">
      <c r="A240" s="17">
        <f>IF($B240="","","F-1235")</f>
        <v/>
      </c>
      <c r="B240" s="28"/>
      <c r="C240" s="28"/>
      <c r="D240" s="8">
        <f>IF($B240="","",IFERROR(INDEX(Audit_Log!$B$6:$B$405,MATCH($B240,Audit_Log!$A$6:$A$405,0)),""))</f>
        <v/>
      </c>
      <c r="E240" s="18">
        <f>IF($B240="","",IFERROR(INDEX(Audit_Log!$C$6:$C$405,MATCH($B240,Audit_Log!$A$6:$A$405,0)),""))</f>
        <v/>
      </c>
      <c r="F240" s="17">
        <f>IF($B240="","",IFERROR(INDEX(Audit_Log!$D$6:$D$405,MATCH($B240,Audit_Log!$A$6:$A$405,0)),""))</f>
        <v/>
      </c>
      <c r="G240" s="30">
        <f>IF($C240="","",IFERROR(INDEX(Checklist!$D$6:$D$20,MATCH($C240,Checklist!$B$6:$B$20,0)),""))</f>
        <v/>
      </c>
      <c r="H240" s="29"/>
      <c r="I240" s="29"/>
      <c r="J240" s="29"/>
      <c r="K240" s="23"/>
      <c r="L240" s="24"/>
      <c r="M240" s="28"/>
      <c r="N240" s="24"/>
      <c r="O240" s="17">
        <f>IF(OR($B240="",$L240="",$M240="Closed"),"",MAX(0,Setup!$C$5-$L240))</f>
        <v/>
      </c>
      <c r="P240" s="17">
        <f>IF($B240="","",IF($M240="Closed","CLOSED",IF($L240="","NO DUE DATE",IF(Setup!$C$5&gt;$L240,"OVERDUE",IF($L240-Setup!$C$5&lt;=7,"DUE SOON","OPEN")))))</f>
        <v/>
      </c>
      <c r="Q240" s="17">
        <f>IF($B240="","",IF($M240="Closed",0,1))</f>
        <v/>
      </c>
    </row>
    <row r="241" spans="1:17">
      <c r="A241" s="17">
        <f>IF($B241="","","F-1236")</f>
        <v/>
      </c>
      <c r="B241" s="28"/>
      <c r="C241" s="28"/>
      <c r="D241" s="8">
        <f>IF($B241="","",IFERROR(INDEX(Audit_Log!$B$6:$B$405,MATCH($B241,Audit_Log!$A$6:$A$405,0)),""))</f>
        <v/>
      </c>
      <c r="E241" s="18">
        <f>IF($B241="","",IFERROR(INDEX(Audit_Log!$C$6:$C$405,MATCH($B241,Audit_Log!$A$6:$A$405,0)),""))</f>
        <v/>
      </c>
      <c r="F241" s="17">
        <f>IF($B241="","",IFERROR(INDEX(Audit_Log!$D$6:$D$405,MATCH($B241,Audit_Log!$A$6:$A$405,0)),""))</f>
        <v/>
      </c>
      <c r="G241" s="30">
        <f>IF($C241="","",IFERROR(INDEX(Checklist!$D$6:$D$20,MATCH($C241,Checklist!$B$6:$B$20,0)),""))</f>
        <v/>
      </c>
      <c r="H241" s="29"/>
      <c r="I241" s="29"/>
      <c r="J241" s="29"/>
      <c r="K241" s="23"/>
      <c r="L241" s="24"/>
      <c r="M241" s="28"/>
      <c r="N241" s="24"/>
      <c r="O241" s="17">
        <f>IF(OR($B241="",$L241="",$M241="Closed"),"",MAX(0,Setup!$C$5-$L241))</f>
        <v/>
      </c>
      <c r="P241" s="17">
        <f>IF($B241="","",IF($M241="Closed","CLOSED",IF($L241="","NO DUE DATE",IF(Setup!$C$5&gt;$L241,"OVERDUE",IF($L241-Setup!$C$5&lt;=7,"DUE SOON","OPEN")))))</f>
        <v/>
      </c>
      <c r="Q241" s="17">
        <f>IF($B241="","",IF($M241="Closed",0,1))</f>
        <v/>
      </c>
    </row>
    <row r="242" spans="1:17">
      <c r="A242" s="17">
        <f>IF($B242="","","F-1237")</f>
        <v/>
      </c>
      <c r="B242" s="28"/>
      <c r="C242" s="28"/>
      <c r="D242" s="8">
        <f>IF($B242="","",IFERROR(INDEX(Audit_Log!$B$6:$B$405,MATCH($B242,Audit_Log!$A$6:$A$405,0)),""))</f>
        <v/>
      </c>
      <c r="E242" s="18">
        <f>IF($B242="","",IFERROR(INDEX(Audit_Log!$C$6:$C$405,MATCH($B242,Audit_Log!$A$6:$A$405,0)),""))</f>
        <v/>
      </c>
      <c r="F242" s="17">
        <f>IF($B242="","",IFERROR(INDEX(Audit_Log!$D$6:$D$405,MATCH($B242,Audit_Log!$A$6:$A$405,0)),""))</f>
        <v/>
      </c>
      <c r="G242" s="30">
        <f>IF($C242="","",IFERROR(INDEX(Checklist!$D$6:$D$20,MATCH($C242,Checklist!$B$6:$B$20,0)),""))</f>
        <v/>
      </c>
      <c r="H242" s="29"/>
      <c r="I242" s="29"/>
      <c r="J242" s="29"/>
      <c r="K242" s="23"/>
      <c r="L242" s="24"/>
      <c r="M242" s="28"/>
      <c r="N242" s="24"/>
      <c r="O242" s="17">
        <f>IF(OR($B242="",$L242="",$M242="Closed"),"",MAX(0,Setup!$C$5-$L242))</f>
        <v/>
      </c>
      <c r="P242" s="17">
        <f>IF($B242="","",IF($M242="Closed","CLOSED",IF($L242="","NO DUE DATE",IF(Setup!$C$5&gt;$L242,"OVERDUE",IF($L242-Setup!$C$5&lt;=7,"DUE SOON","OPEN")))))</f>
        <v/>
      </c>
      <c r="Q242" s="17">
        <f>IF($B242="","",IF($M242="Closed",0,1))</f>
        <v/>
      </c>
    </row>
    <row r="243" spans="1:17">
      <c r="A243" s="17">
        <f>IF($B243="","","F-1238")</f>
        <v/>
      </c>
      <c r="B243" s="28"/>
      <c r="C243" s="28"/>
      <c r="D243" s="8">
        <f>IF($B243="","",IFERROR(INDEX(Audit_Log!$B$6:$B$405,MATCH($B243,Audit_Log!$A$6:$A$405,0)),""))</f>
        <v/>
      </c>
      <c r="E243" s="18">
        <f>IF($B243="","",IFERROR(INDEX(Audit_Log!$C$6:$C$405,MATCH($B243,Audit_Log!$A$6:$A$405,0)),""))</f>
        <v/>
      </c>
      <c r="F243" s="17">
        <f>IF($B243="","",IFERROR(INDEX(Audit_Log!$D$6:$D$405,MATCH($B243,Audit_Log!$A$6:$A$405,0)),""))</f>
        <v/>
      </c>
      <c r="G243" s="30">
        <f>IF($C243="","",IFERROR(INDEX(Checklist!$D$6:$D$20,MATCH($C243,Checklist!$B$6:$B$20,0)),""))</f>
        <v/>
      </c>
      <c r="H243" s="29"/>
      <c r="I243" s="29"/>
      <c r="J243" s="29"/>
      <c r="K243" s="23"/>
      <c r="L243" s="24"/>
      <c r="M243" s="28"/>
      <c r="N243" s="24"/>
      <c r="O243" s="17">
        <f>IF(OR($B243="",$L243="",$M243="Closed"),"",MAX(0,Setup!$C$5-$L243))</f>
        <v/>
      </c>
      <c r="P243" s="17">
        <f>IF($B243="","",IF($M243="Closed","CLOSED",IF($L243="","NO DUE DATE",IF(Setup!$C$5&gt;$L243,"OVERDUE",IF($L243-Setup!$C$5&lt;=7,"DUE SOON","OPEN")))))</f>
        <v/>
      </c>
      <c r="Q243" s="17">
        <f>IF($B243="","",IF($M243="Closed",0,1))</f>
        <v/>
      </c>
    </row>
    <row r="244" spans="1:17">
      <c r="A244" s="17">
        <f>IF($B244="","","F-1239")</f>
        <v/>
      </c>
      <c r="B244" s="28"/>
      <c r="C244" s="28"/>
      <c r="D244" s="8">
        <f>IF($B244="","",IFERROR(INDEX(Audit_Log!$B$6:$B$405,MATCH($B244,Audit_Log!$A$6:$A$405,0)),""))</f>
        <v/>
      </c>
      <c r="E244" s="18">
        <f>IF($B244="","",IFERROR(INDEX(Audit_Log!$C$6:$C$405,MATCH($B244,Audit_Log!$A$6:$A$405,0)),""))</f>
        <v/>
      </c>
      <c r="F244" s="17">
        <f>IF($B244="","",IFERROR(INDEX(Audit_Log!$D$6:$D$405,MATCH($B244,Audit_Log!$A$6:$A$405,0)),""))</f>
        <v/>
      </c>
      <c r="G244" s="30">
        <f>IF($C244="","",IFERROR(INDEX(Checklist!$D$6:$D$20,MATCH($C244,Checklist!$B$6:$B$20,0)),""))</f>
        <v/>
      </c>
      <c r="H244" s="29"/>
      <c r="I244" s="29"/>
      <c r="J244" s="29"/>
      <c r="K244" s="23"/>
      <c r="L244" s="24"/>
      <c r="M244" s="28"/>
      <c r="N244" s="24"/>
      <c r="O244" s="17">
        <f>IF(OR($B244="",$L244="",$M244="Closed"),"",MAX(0,Setup!$C$5-$L244))</f>
        <v/>
      </c>
      <c r="P244" s="17">
        <f>IF($B244="","",IF($M244="Closed","CLOSED",IF($L244="","NO DUE DATE",IF(Setup!$C$5&gt;$L244,"OVERDUE",IF($L244-Setup!$C$5&lt;=7,"DUE SOON","OPEN")))))</f>
        <v/>
      </c>
      <c r="Q244" s="17">
        <f>IF($B244="","",IF($M244="Closed",0,1))</f>
        <v/>
      </c>
    </row>
    <row r="245" spans="1:17">
      <c r="A245" s="17">
        <f>IF($B245="","","F-1240")</f>
        <v/>
      </c>
      <c r="B245" s="28"/>
      <c r="C245" s="28"/>
      <c r="D245" s="8">
        <f>IF($B245="","",IFERROR(INDEX(Audit_Log!$B$6:$B$405,MATCH($B245,Audit_Log!$A$6:$A$405,0)),""))</f>
        <v/>
      </c>
      <c r="E245" s="18">
        <f>IF($B245="","",IFERROR(INDEX(Audit_Log!$C$6:$C$405,MATCH($B245,Audit_Log!$A$6:$A$405,0)),""))</f>
        <v/>
      </c>
      <c r="F245" s="17">
        <f>IF($B245="","",IFERROR(INDEX(Audit_Log!$D$6:$D$405,MATCH($B245,Audit_Log!$A$6:$A$405,0)),""))</f>
        <v/>
      </c>
      <c r="G245" s="30">
        <f>IF($C245="","",IFERROR(INDEX(Checklist!$D$6:$D$20,MATCH($C245,Checklist!$B$6:$B$20,0)),""))</f>
        <v/>
      </c>
      <c r="H245" s="29"/>
      <c r="I245" s="29"/>
      <c r="J245" s="29"/>
      <c r="K245" s="23"/>
      <c r="L245" s="24"/>
      <c r="M245" s="28"/>
      <c r="N245" s="24"/>
      <c r="O245" s="17">
        <f>IF(OR($B245="",$L245="",$M245="Closed"),"",MAX(0,Setup!$C$5-$L245))</f>
        <v/>
      </c>
      <c r="P245" s="17">
        <f>IF($B245="","",IF($M245="Closed","CLOSED",IF($L245="","NO DUE DATE",IF(Setup!$C$5&gt;$L245,"OVERDUE",IF($L245-Setup!$C$5&lt;=7,"DUE SOON","OPEN")))))</f>
        <v/>
      </c>
      <c r="Q245" s="17">
        <f>IF($B245="","",IF($M245="Closed",0,1))</f>
        <v/>
      </c>
    </row>
    <row r="246" spans="1:17">
      <c r="A246" s="17">
        <f>IF($B246="","","F-1241")</f>
        <v/>
      </c>
      <c r="B246" s="28"/>
      <c r="C246" s="28"/>
      <c r="D246" s="8">
        <f>IF($B246="","",IFERROR(INDEX(Audit_Log!$B$6:$B$405,MATCH($B246,Audit_Log!$A$6:$A$405,0)),""))</f>
        <v/>
      </c>
      <c r="E246" s="18">
        <f>IF($B246="","",IFERROR(INDEX(Audit_Log!$C$6:$C$405,MATCH($B246,Audit_Log!$A$6:$A$405,0)),""))</f>
        <v/>
      </c>
      <c r="F246" s="17">
        <f>IF($B246="","",IFERROR(INDEX(Audit_Log!$D$6:$D$405,MATCH($B246,Audit_Log!$A$6:$A$405,0)),""))</f>
        <v/>
      </c>
      <c r="G246" s="30">
        <f>IF($C246="","",IFERROR(INDEX(Checklist!$D$6:$D$20,MATCH($C246,Checklist!$B$6:$B$20,0)),""))</f>
        <v/>
      </c>
      <c r="H246" s="29"/>
      <c r="I246" s="29"/>
      <c r="J246" s="29"/>
      <c r="K246" s="23"/>
      <c r="L246" s="24"/>
      <c r="M246" s="28"/>
      <c r="N246" s="24"/>
      <c r="O246" s="17">
        <f>IF(OR($B246="",$L246="",$M246="Closed"),"",MAX(0,Setup!$C$5-$L246))</f>
        <v/>
      </c>
      <c r="P246" s="17">
        <f>IF($B246="","",IF($M246="Closed","CLOSED",IF($L246="","NO DUE DATE",IF(Setup!$C$5&gt;$L246,"OVERDUE",IF($L246-Setup!$C$5&lt;=7,"DUE SOON","OPEN")))))</f>
        <v/>
      </c>
      <c r="Q246" s="17">
        <f>IF($B246="","",IF($M246="Closed",0,1))</f>
        <v/>
      </c>
    </row>
    <row r="247" spans="1:17">
      <c r="A247" s="17">
        <f>IF($B247="","","F-1242")</f>
        <v/>
      </c>
      <c r="B247" s="28"/>
      <c r="C247" s="28"/>
      <c r="D247" s="8">
        <f>IF($B247="","",IFERROR(INDEX(Audit_Log!$B$6:$B$405,MATCH($B247,Audit_Log!$A$6:$A$405,0)),""))</f>
        <v/>
      </c>
      <c r="E247" s="18">
        <f>IF($B247="","",IFERROR(INDEX(Audit_Log!$C$6:$C$405,MATCH($B247,Audit_Log!$A$6:$A$405,0)),""))</f>
        <v/>
      </c>
      <c r="F247" s="17">
        <f>IF($B247="","",IFERROR(INDEX(Audit_Log!$D$6:$D$405,MATCH($B247,Audit_Log!$A$6:$A$405,0)),""))</f>
        <v/>
      </c>
      <c r="G247" s="30">
        <f>IF($C247="","",IFERROR(INDEX(Checklist!$D$6:$D$20,MATCH($C247,Checklist!$B$6:$B$20,0)),""))</f>
        <v/>
      </c>
      <c r="H247" s="29"/>
      <c r="I247" s="29"/>
      <c r="J247" s="29"/>
      <c r="K247" s="23"/>
      <c r="L247" s="24"/>
      <c r="M247" s="28"/>
      <c r="N247" s="24"/>
      <c r="O247" s="17">
        <f>IF(OR($B247="",$L247="",$M247="Closed"),"",MAX(0,Setup!$C$5-$L247))</f>
        <v/>
      </c>
      <c r="P247" s="17">
        <f>IF($B247="","",IF($M247="Closed","CLOSED",IF($L247="","NO DUE DATE",IF(Setup!$C$5&gt;$L247,"OVERDUE",IF($L247-Setup!$C$5&lt;=7,"DUE SOON","OPEN")))))</f>
        <v/>
      </c>
      <c r="Q247" s="17">
        <f>IF($B247="","",IF($M247="Closed",0,1))</f>
        <v/>
      </c>
    </row>
    <row r="248" spans="1:17">
      <c r="A248" s="17">
        <f>IF($B248="","","F-1243")</f>
        <v/>
      </c>
      <c r="B248" s="28"/>
      <c r="C248" s="28"/>
      <c r="D248" s="8">
        <f>IF($B248="","",IFERROR(INDEX(Audit_Log!$B$6:$B$405,MATCH($B248,Audit_Log!$A$6:$A$405,0)),""))</f>
        <v/>
      </c>
      <c r="E248" s="18">
        <f>IF($B248="","",IFERROR(INDEX(Audit_Log!$C$6:$C$405,MATCH($B248,Audit_Log!$A$6:$A$405,0)),""))</f>
        <v/>
      </c>
      <c r="F248" s="17">
        <f>IF($B248="","",IFERROR(INDEX(Audit_Log!$D$6:$D$405,MATCH($B248,Audit_Log!$A$6:$A$405,0)),""))</f>
        <v/>
      </c>
      <c r="G248" s="30">
        <f>IF($C248="","",IFERROR(INDEX(Checklist!$D$6:$D$20,MATCH($C248,Checklist!$B$6:$B$20,0)),""))</f>
        <v/>
      </c>
      <c r="H248" s="29"/>
      <c r="I248" s="29"/>
      <c r="J248" s="29"/>
      <c r="K248" s="23"/>
      <c r="L248" s="24"/>
      <c r="M248" s="28"/>
      <c r="N248" s="24"/>
      <c r="O248" s="17">
        <f>IF(OR($B248="",$L248="",$M248="Closed"),"",MAX(0,Setup!$C$5-$L248))</f>
        <v/>
      </c>
      <c r="P248" s="17">
        <f>IF($B248="","",IF($M248="Closed","CLOSED",IF($L248="","NO DUE DATE",IF(Setup!$C$5&gt;$L248,"OVERDUE",IF($L248-Setup!$C$5&lt;=7,"DUE SOON","OPEN")))))</f>
        <v/>
      </c>
      <c r="Q248" s="17">
        <f>IF($B248="","",IF($M248="Closed",0,1))</f>
        <v/>
      </c>
    </row>
    <row r="249" spans="1:17">
      <c r="A249" s="17">
        <f>IF($B249="","","F-1244")</f>
        <v/>
      </c>
      <c r="B249" s="28"/>
      <c r="C249" s="28"/>
      <c r="D249" s="8">
        <f>IF($B249="","",IFERROR(INDEX(Audit_Log!$B$6:$B$405,MATCH($B249,Audit_Log!$A$6:$A$405,0)),""))</f>
        <v/>
      </c>
      <c r="E249" s="18">
        <f>IF($B249="","",IFERROR(INDEX(Audit_Log!$C$6:$C$405,MATCH($B249,Audit_Log!$A$6:$A$405,0)),""))</f>
        <v/>
      </c>
      <c r="F249" s="17">
        <f>IF($B249="","",IFERROR(INDEX(Audit_Log!$D$6:$D$405,MATCH($B249,Audit_Log!$A$6:$A$405,0)),""))</f>
        <v/>
      </c>
      <c r="G249" s="30">
        <f>IF($C249="","",IFERROR(INDEX(Checklist!$D$6:$D$20,MATCH($C249,Checklist!$B$6:$B$20,0)),""))</f>
        <v/>
      </c>
      <c r="H249" s="29"/>
      <c r="I249" s="29"/>
      <c r="J249" s="29"/>
      <c r="K249" s="23"/>
      <c r="L249" s="24"/>
      <c r="M249" s="28"/>
      <c r="N249" s="24"/>
      <c r="O249" s="17">
        <f>IF(OR($B249="",$L249="",$M249="Closed"),"",MAX(0,Setup!$C$5-$L249))</f>
        <v/>
      </c>
      <c r="P249" s="17">
        <f>IF($B249="","",IF($M249="Closed","CLOSED",IF($L249="","NO DUE DATE",IF(Setup!$C$5&gt;$L249,"OVERDUE",IF($L249-Setup!$C$5&lt;=7,"DUE SOON","OPEN")))))</f>
        <v/>
      </c>
      <c r="Q249" s="17">
        <f>IF($B249="","",IF($M249="Closed",0,1))</f>
        <v/>
      </c>
    </row>
    <row r="250" spans="1:17">
      <c r="A250" s="17">
        <f>IF($B250="","","F-1245")</f>
        <v/>
      </c>
      <c r="B250" s="28"/>
      <c r="C250" s="28"/>
      <c r="D250" s="8">
        <f>IF($B250="","",IFERROR(INDEX(Audit_Log!$B$6:$B$405,MATCH($B250,Audit_Log!$A$6:$A$405,0)),""))</f>
        <v/>
      </c>
      <c r="E250" s="18">
        <f>IF($B250="","",IFERROR(INDEX(Audit_Log!$C$6:$C$405,MATCH($B250,Audit_Log!$A$6:$A$405,0)),""))</f>
        <v/>
      </c>
      <c r="F250" s="17">
        <f>IF($B250="","",IFERROR(INDEX(Audit_Log!$D$6:$D$405,MATCH($B250,Audit_Log!$A$6:$A$405,0)),""))</f>
        <v/>
      </c>
      <c r="G250" s="30">
        <f>IF($C250="","",IFERROR(INDEX(Checklist!$D$6:$D$20,MATCH($C250,Checklist!$B$6:$B$20,0)),""))</f>
        <v/>
      </c>
      <c r="H250" s="29"/>
      <c r="I250" s="29"/>
      <c r="J250" s="29"/>
      <c r="K250" s="23"/>
      <c r="L250" s="24"/>
      <c r="M250" s="28"/>
      <c r="N250" s="24"/>
      <c r="O250" s="17">
        <f>IF(OR($B250="",$L250="",$M250="Closed"),"",MAX(0,Setup!$C$5-$L250))</f>
        <v/>
      </c>
      <c r="P250" s="17">
        <f>IF($B250="","",IF($M250="Closed","CLOSED",IF($L250="","NO DUE DATE",IF(Setup!$C$5&gt;$L250,"OVERDUE",IF($L250-Setup!$C$5&lt;=7,"DUE SOON","OPEN")))))</f>
        <v/>
      </c>
      <c r="Q250" s="17">
        <f>IF($B250="","",IF($M250="Closed",0,1))</f>
        <v/>
      </c>
    </row>
    <row r="251" spans="1:17">
      <c r="A251" s="17">
        <f>IF($B251="","","F-1246")</f>
        <v/>
      </c>
      <c r="B251" s="28"/>
      <c r="C251" s="28"/>
      <c r="D251" s="8">
        <f>IF($B251="","",IFERROR(INDEX(Audit_Log!$B$6:$B$405,MATCH($B251,Audit_Log!$A$6:$A$405,0)),""))</f>
        <v/>
      </c>
      <c r="E251" s="18">
        <f>IF($B251="","",IFERROR(INDEX(Audit_Log!$C$6:$C$405,MATCH($B251,Audit_Log!$A$6:$A$405,0)),""))</f>
        <v/>
      </c>
      <c r="F251" s="17">
        <f>IF($B251="","",IFERROR(INDEX(Audit_Log!$D$6:$D$405,MATCH($B251,Audit_Log!$A$6:$A$405,0)),""))</f>
        <v/>
      </c>
      <c r="G251" s="30">
        <f>IF($C251="","",IFERROR(INDEX(Checklist!$D$6:$D$20,MATCH($C251,Checklist!$B$6:$B$20,0)),""))</f>
        <v/>
      </c>
      <c r="H251" s="29"/>
      <c r="I251" s="29"/>
      <c r="J251" s="29"/>
      <c r="K251" s="23"/>
      <c r="L251" s="24"/>
      <c r="M251" s="28"/>
      <c r="N251" s="24"/>
      <c r="O251" s="17">
        <f>IF(OR($B251="",$L251="",$M251="Closed"),"",MAX(0,Setup!$C$5-$L251))</f>
        <v/>
      </c>
      <c r="P251" s="17">
        <f>IF($B251="","",IF($M251="Closed","CLOSED",IF($L251="","NO DUE DATE",IF(Setup!$C$5&gt;$L251,"OVERDUE",IF($L251-Setup!$C$5&lt;=7,"DUE SOON","OPEN")))))</f>
        <v/>
      </c>
      <c r="Q251" s="17">
        <f>IF($B251="","",IF($M251="Closed",0,1))</f>
        <v/>
      </c>
    </row>
    <row r="252" spans="1:17">
      <c r="A252" s="17">
        <f>IF($B252="","","F-1247")</f>
        <v/>
      </c>
      <c r="B252" s="28"/>
      <c r="C252" s="28"/>
      <c r="D252" s="8">
        <f>IF($B252="","",IFERROR(INDEX(Audit_Log!$B$6:$B$405,MATCH($B252,Audit_Log!$A$6:$A$405,0)),""))</f>
        <v/>
      </c>
      <c r="E252" s="18">
        <f>IF($B252="","",IFERROR(INDEX(Audit_Log!$C$6:$C$405,MATCH($B252,Audit_Log!$A$6:$A$405,0)),""))</f>
        <v/>
      </c>
      <c r="F252" s="17">
        <f>IF($B252="","",IFERROR(INDEX(Audit_Log!$D$6:$D$405,MATCH($B252,Audit_Log!$A$6:$A$405,0)),""))</f>
        <v/>
      </c>
      <c r="G252" s="30">
        <f>IF($C252="","",IFERROR(INDEX(Checklist!$D$6:$D$20,MATCH($C252,Checklist!$B$6:$B$20,0)),""))</f>
        <v/>
      </c>
      <c r="H252" s="29"/>
      <c r="I252" s="29"/>
      <c r="J252" s="29"/>
      <c r="K252" s="23"/>
      <c r="L252" s="24"/>
      <c r="M252" s="28"/>
      <c r="N252" s="24"/>
      <c r="O252" s="17">
        <f>IF(OR($B252="",$L252="",$M252="Closed"),"",MAX(0,Setup!$C$5-$L252))</f>
        <v/>
      </c>
      <c r="P252" s="17">
        <f>IF($B252="","",IF($M252="Closed","CLOSED",IF($L252="","NO DUE DATE",IF(Setup!$C$5&gt;$L252,"OVERDUE",IF($L252-Setup!$C$5&lt;=7,"DUE SOON","OPEN")))))</f>
        <v/>
      </c>
      <c r="Q252" s="17">
        <f>IF($B252="","",IF($M252="Closed",0,1))</f>
        <v/>
      </c>
    </row>
    <row r="253" spans="1:17">
      <c r="A253" s="17">
        <f>IF($B253="","","F-1248")</f>
        <v/>
      </c>
      <c r="B253" s="28"/>
      <c r="C253" s="28"/>
      <c r="D253" s="8">
        <f>IF($B253="","",IFERROR(INDEX(Audit_Log!$B$6:$B$405,MATCH($B253,Audit_Log!$A$6:$A$405,0)),""))</f>
        <v/>
      </c>
      <c r="E253" s="18">
        <f>IF($B253="","",IFERROR(INDEX(Audit_Log!$C$6:$C$405,MATCH($B253,Audit_Log!$A$6:$A$405,0)),""))</f>
        <v/>
      </c>
      <c r="F253" s="17">
        <f>IF($B253="","",IFERROR(INDEX(Audit_Log!$D$6:$D$405,MATCH($B253,Audit_Log!$A$6:$A$405,0)),""))</f>
        <v/>
      </c>
      <c r="G253" s="30">
        <f>IF($C253="","",IFERROR(INDEX(Checklist!$D$6:$D$20,MATCH($C253,Checklist!$B$6:$B$20,0)),""))</f>
        <v/>
      </c>
      <c r="H253" s="29"/>
      <c r="I253" s="29"/>
      <c r="J253" s="29"/>
      <c r="K253" s="23"/>
      <c r="L253" s="24"/>
      <c r="M253" s="28"/>
      <c r="N253" s="24"/>
      <c r="O253" s="17">
        <f>IF(OR($B253="",$L253="",$M253="Closed"),"",MAX(0,Setup!$C$5-$L253))</f>
        <v/>
      </c>
      <c r="P253" s="17">
        <f>IF($B253="","",IF($M253="Closed","CLOSED",IF($L253="","NO DUE DATE",IF(Setup!$C$5&gt;$L253,"OVERDUE",IF($L253-Setup!$C$5&lt;=7,"DUE SOON","OPEN")))))</f>
        <v/>
      </c>
      <c r="Q253" s="17">
        <f>IF($B253="","",IF($M253="Closed",0,1))</f>
        <v/>
      </c>
    </row>
    <row r="254" spans="1:17">
      <c r="A254" s="17">
        <f>IF($B254="","","F-1249")</f>
        <v/>
      </c>
      <c r="B254" s="28"/>
      <c r="C254" s="28"/>
      <c r="D254" s="8">
        <f>IF($B254="","",IFERROR(INDEX(Audit_Log!$B$6:$B$405,MATCH($B254,Audit_Log!$A$6:$A$405,0)),""))</f>
        <v/>
      </c>
      <c r="E254" s="18">
        <f>IF($B254="","",IFERROR(INDEX(Audit_Log!$C$6:$C$405,MATCH($B254,Audit_Log!$A$6:$A$405,0)),""))</f>
        <v/>
      </c>
      <c r="F254" s="17">
        <f>IF($B254="","",IFERROR(INDEX(Audit_Log!$D$6:$D$405,MATCH($B254,Audit_Log!$A$6:$A$405,0)),""))</f>
        <v/>
      </c>
      <c r="G254" s="30">
        <f>IF($C254="","",IFERROR(INDEX(Checklist!$D$6:$D$20,MATCH($C254,Checklist!$B$6:$B$20,0)),""))</f>
        <v/>
      </c>
      <c r="H254" s="29"/>
      <c r="I254" s="29"/>
      <c r="J254" s="29"/>
      <c r="K254" s="23"/>
      <c r="L254" s="24"/>
      <c r="M254" s="28"/>
      <c r="N254" s="24"/>
      <c r="O254" s="17">
        <f>IF(OR($B254="",$L254="",$M254="Closed"),"",MAX(0,Setup!$C$5-$L254))</f>
        <v/>
      </c>
      <c r="P254" s="17">
        <f>IF($B254="","",IF($M254="Closed","CLOSED",IF($L254="","NO DUE DATE",IF(Setup!$C$5&gt;$L254,"OVERDUE",IF($L254-Setup!$C$5&lt;=7,"DUE SOON","OPEN")))))</f>
        <v/>
      </c>
      <c r="Q254" s="17">
        <f>IF($B254="","",IF($M254="Closed",0,1))</f>
        <v/>
      </c>
    </row>
    <row r="255" spans="1:17">
      <c r="A255" s="17">
        <f>IF($B255="","","F-1250")</f>
        <v/>
      </c>
      <c r="B255" s="28"/>
      <c r="C255" s="28"/>
      <c r="D255" s="8">
        <f>IF($B255="","",IFERROR(INDEX(Audit_Log!$B$6:$B$405,MATCH($B255,Audit_Log!$A$6:$A$405,0)),""))</f>
        <v/>
      </c>
      <c r="E255" s="18">
        <f>IF($B255="","",IFERROR(INDEX(Audit_Log!$C$6:$C$405,MATCH($B255,Audit_Log!$A$6:$A$405,0)),""))</f>
        <v/>
      </c>
      <c r="F255" s="17">
        <f>IF($B255="","",IFERROR(INDEX(Audit_Log!$D$6:$D$405,MATCH($B255,Audit_Log!$A$6:$A$405,0)),""))</f>
        <v/>
      </c>
      <c r="G255" s="30">
        <f>IF($C255="","",IFERROR(INDEX(Checklist!$D$6:$D$20,MATCH($C255,Checklist!$B$6:$B$20,0)),""))</f>
        <v/>
      </c>
      <c r="H255" s="29"/>
      <c r="I255" s="29"/>
      <c r="J255" s="29"/>
      <c r="K255" s="23"/>
      <c r="L255" s="24"/>
      <c r="M255" s="28"/>
      <c r="N255" s="24"/>
      <c r="O255" s="17">
        <f>IF(OR($B255="",$L255="",$M255="Closed"),"",MAX(0,Setup!$C$5-$L255))</f>
        <v/>
      </c>
      <c r="P255" s="17">
        <f>IF($B255="","",IF($M255="Closed","CLOSED",IF($L255="","NO DUE DATE",IF(Setup!$C$5&gt;$L255,"OVERDUE",IF($L255-Setup!$C$5&lt;=7,"DUE SOON","OPEN")))))</f>
        <v/>
      </c>
      <c r="Q255" s="17">
        <f>IF($B255="","",IF($M255="Closed",0,1))</f>
        <v/>
      </c>
    </row>
    <row r="256" spans="1:17">
      <c r="A256" s="17">
        <f>IF($B256="","","F-1251")</f>
        <v/>
      </c>
      <c r="B256" s="28"/>
      <c r="C256" s="28"/>
      <c r="D256" s="8">
        <f>IF($B256="","",IFERROR(INDEX(Audit_Log!$B$6:$B$405,MATCH($B256,Audit_Log!$A$6:$A$405,0)),""))</f>
        <v/>
      </c>
      <c r="E256" s="18">
        <f>IF($B256="","",IFERROR(INDEX(Audit_Log!$C$6:$C$405,MATCH($B256,Audit_Log!$A$6:$A$405,0)),""))</f>
        <v/>
      </c>
      <c r="F256" s="17">
        <f>IF($B256="","",IFERROR(INDEX(Audit_Log!$D$6:$D$405,MATCH($B256,Audit_Log!$A$6:$A$405,0)),""))</f>
        <v/>
      </c>
      <c r="G256" s="30">
        <f>IF($C256="","",IFERROR(INDEX(Checklist!$D$6:$D$20,MATCH($C256,Checklist!$B$6:$B$20,0)),""))</f>
        <v/>
      </c>
      <c r="H256" s="29"/>
      <c r="I256" s="29"/>
      <c r="J256" s="29"/>
      <c r="K256" s="23"/>
      <c r="L256" s="24"/>
      <c r="M256" s="28"/>
      <c r="N256" s="24"/>
      <c r="O256" s="17">
        <f>IF(OR($B256="",$L256="",$M256="Closed"),"",MAX(0,Setup!$C$5-$L256))</f>
        <v/>
      </c>
      <c r="P256" s="17">
        <f>IF($B256="","",IF($M256="Closed","CLOSED",IF($L256="","NO DUE DATE",IF(Setup!$C$5&gt;$L256,"OVERDUE",IF($L256-Setup!$C$5&lt;=7,"DUE SOON","OPEN")))))</f>
        <v/>
      </c>
      <c r="Q256" s="17">
        <f>IF($B256="","",IF($M256="Closed",0,1))</f>
        <v/>
      </c>
    </row>
    <row r="257" spans="1:17">
      <c r="A257" s="17">
        <f>IF($B257="","","F-1252")</f>
        <v/>
      </c>
      <c r="B257" s="28"/>
      <c r="C257" s="28"/>
      <c r="D257" s="8">
        <f>IF($B257="","",IFERROR(INDEX(Audit_Log!$B$6:$B$405,MATCH($B257,Audit_Log!$A$6:$A$405,0)),""))</f>
        <v/>
      </c>
      <c r="E257" s="18">
        <f>IF($B257="","",IFERROR(INDEX(Audit_Log!$C$6:$C$405,MATCH($B257,Audit_Log!$A$6:$A$405,0)),""))</f>
        <v/>
      </c>
      <c r="F257" s="17">
        <f>IF($B257="","",IFERROR(INDEX(Audit_Log!$D$6:$D$405,MATCH($B257,Audit_Log!$A$6:$A$405,0)),""))</f>
        <v/>
      </c>
      <c r="G257" s="30">
        <f>IF($C257="","",IFERROR(INDEX(Checklist!$D$6:$D$20,MATCH($C257,Checklist!$B$6:$B$20,0)),""))</f>
        <v/>
      </c>
      <c r="H257" s="29"/>
      <c r="I257" s="29"/>
      <c r="J257" s="29"/>
      <c r="K257" s="23"/>
      <c r="L257" s="24"/>
      <c r="M257" s="28"/>
      <c r="N257" s="24"/>
      <c r="O257" s="17">
        <f>IF(OR($B257="",$L257="",$M257="Closed"),"",MAX(0,Setup!$C$5-$L257))</f>
        <v/>
      </c>
      <c r="P257" s="17">
        <f>IF($B257="","",IF($M257="Closed","CLOSED",IF($L257="","NO DUE DATE",IF(Setup!$C$5&gt;$L257,"OVERDUE",IF($L257-Setup!$C$5&lt;=7,"DUE SOON","OPEN")))))</f>
        <v/>
      </c>
      <c r="Q257" s="17">
        <f>IF($B257="","",IF($M257="Closed",0,1))</f>
        <v/>
      </c>
    </row>
    <row r="258" spans="1:17">
      <c r="A258" s="17">
        <f>IF($B258="","","F-1253")</f>
        <v/>
      </c>
      <c r="B258" s="28"/>
      <c r="C258" s="28"/>
      <c r="D258" s="8">
        <f>IF($B258="","",IFERROR(INDEX(Audit_Log!$B$6:$B$405,MATCH($B258,Audit_Log!$A$6:$A$405,0)),""))</f>
        <v/>
      </c>
      <c r="E258" s="18">
        <f>IF($B258="","",IFERROR(INDEX(Audit_Log!$C$6:$C$405,MATCH($B258,Audit_Log!$A$6:$A$405,0)),""))</f>
        <v/>
      </c>
      <c r="F258" s="17">
        <f>IF($B258="","",IFERROR(INDEX(Audit_Log!$D$6:$D$405,MATCH($B258,Audit_Log!$A$6:$A$405,0)),""))</f>
        <v/>
      </c>
      <c r="G258" s="30">
        <f>IF($C258="","",IFERROR(INDEX(Checklist!$D$6:$D$20,MATCH($C258,Checklist!$B$6:$B$20,0)),""))</f>
        <v/>
      </c>
      <c r="H258" s="29"/>
      <c r="I258" s="29"/>
      <c r="J258" s="29"/>
      <c r="K258" s="23"/>
      <c r="L258" s="24"/>
      <c r="M258" s="28"/>
      <c r="N258" s="24"/>
      <c r="O258" s="17">
        <f>IF(OR($B258="",$L258="",$M258="Closed"),"",MAX(0,Setup!$C$5-$L258))</f>
        <v/>
      </c>
      <c r="P258" s="17">
        <f>IF($B258="","",IF($M258="Closed","CLOSED",IF($L258="","NO DUE DATE",IF(Setup!$C$5&gt;$L258,"OVERDUE",IF($L258-Setup!$C$5&lt;=7,"DUE SOON","OPEN")))))</f>
        <v/>
      </c>
      <c r="Q258" s="17">
        <f>IF($B258="","",IF($M258="Closed",0,1))</f>
        <v/>
      </c>
    </row>
    <row r="259" spans="1:17">
      <c r="A259" s="17">
        <f>IF($B259="","","F-1254")</f>
        <v/>
      </c>
      <c r="B259" s="28"/>
      <c r="C259" s="28"/>
      <c r="D259" s="8">
        <f>IF($B259="","",IFERROR(INDEX(Audit_Log!$B$6:$B$405,MATCH($B259,Audit_Log!$A$6:$A$405,0)),""))</f>
        <v/>
      </c>
      <c r="E259" s="18">
        <f>IF($B259="","",IFERROR(INDEX(Audit_Log!$C$6:$C$405,MATCH($B259,Audit_Log!$A$6:$A$405,0)),""))</f>
        <v/>
      </c>
      <c r="F259" s="17">
        <f>IF($B259="","",IFERROR(INDEX(Audit_Log!$D$6:$D$405,MATCH($B259,Audit_Log!$A$6:$A$405,0)),""))</f>
        <v/>
      </c>
      <c r="G259" s="30">
        <f>IF($C259="","",IFERROR(INDEX(Checklist!$D$6:$D$20,MATCH($C259,Checklist!$B$6:$B$20,0)),""))</f>
        <v/>
      </c>
      <c r="H259" s="29"/>
      <c r="I259" s="29"/>
      <c r="J259" s="29"/>
      <c r="K259" s="23"/>
      <c r="L259" s="24"/>
      <c r="M259" s="28"/>
      <c r="N259" s="24"/>
      <c r="O259" s="17">
        <f>IF(OR($B259="",$L259="",$M259="Closed"),"",MAX(0,Setup!$C$5-$L259))</f>
        <v/>
      </c>
      <c r="P259" s="17">
        <f>IF($B259="","",IF($M259="Closed","CLOSED",IF($L259="","NO DUE DATE",IF(Setup!$C$5&gt;$L259,"OVERDUE",IF($L259-Setup!$C$5&lt;=7,"DUE SOON","OPEN")))))</f>
        <v/>
      </c>
      <c r="Q259" s="17">
        <f>IF($B259="","",IF($M259="Closed",0,1))</f>
        <v/>
      </c>
    </row>
    <row r="260" spans="1:17">
      <c r="A260" s="17">
        <f>IF($B260="","","F-1255")</f>
        <v/>
      </c>
      <c r="B260" s="28"/>
      <c r="C260" s="28"/>
      <c r="D260" s="8">
        <f>IF($B260="","",IFERROR(INDEX(Audit_Log!$B$6:$B$405,MATCH($B260,Audit_Log!$A$6:$A$405,0)),""))</f>
        <v/>
      </c>
      <c r="E260" s="18">
        <f>IF($B260="","",IFERROR(INDEX(Audit_Log!$C$6:$C$405,MATCH($B260,Audit_Log!$A$6:$A$405,0)),""))</f>
        <v/>
      </c>
      <c r="F260" s="17">
        <f>IF($B260="","",IFERROR(INDEX(Audit_Log!$D$6:$D$405,MATCH($B260,Audit_Log!$A$6:$A$405,0)),""))</f>
        <v/>
      </c>
      <c r="G260" s="30">
        <f>IF($C260="","",IFERROR(INDEX(Checklist!$D$6:$D$20,MATCH($C260,Checklist!$B$6:$B$20,0)),""))</f>
        <v/>
      </c>
      <c r="H260" s="29"/>
      <c r="I260" s="29"/>
      <c r="J260" s="29"/>
      <c r="K260" s="23"/>
      <c r="L260" s="24"/>
      <c r="M260" s="28"/>
      <c r="N260" s="24"/>
      <c r="O260" s="17">
        <f>IF(OR($B260="",$L260="",$M260="Closed"),"",MAX(0,Setup!$C$5-$L260))</f>
        <v/>
      </c>
      <c r="P260" s="17">
        <f>IF($B260="","",IF($M260="Closed","CLOSED",IF($L260="","NO DUE DATE",IF(Setup!$C$5&gt;$L260,"OVERDUE",IF($L260-Setup!$C$5&lt;=7,"DUE SOON","OPEN")))))</f>
        <v/>
      </c>
      <c r="Q260" s="17">
        <f>IF($B260="","",IF($M260="Closed",0,1))</f>
        <v/>
      </c>
    </row>
    <row r="261" spans="1:17">
      <c r="A261" s="17">
        <f>IF($B261="","","F-1256")</f>
        <v/>
      </c>
      <c r="B261" s="28"/>
      <c r="C261" s="28"/>
      <c r="D261" s="8">
        <f>IF($B261="","",IFERROR(INDEX(Audit_Log!$B$6:$B$405,MATCH($B261,Audit_Log!$A$6:$A$405,0)),""))</f>
        <v/>
      </c>
      <c r="E261" s="18">
        <f>IF($B261="","",IFERROR(INDEX(Audit_Log!$C$6:$C$405,MATCH($B261,Audit_Log!$A$6:$A$405,0)),""))</f>
        <v/>
      </c>
      <c r="F261" s="17">
        <f>IF($B261="","",IFERROR(INDEX(Audit_Log!$D$6:$D$405,MATCH($B261,Audit_Log!$A$6:$A$405,0)),""))</f>
        <v/>
      </c>
      <c r="G261" s="30">
        <f>IF($C261="","",IFERROR(INDEX(Checklist!$D$6:$D$20,MATCH($C261,Checklist!$B$6:$B$20,0)),""))</f>
        <v/>
      </c>
      <c r="H261" s="29"/>
      <c r="I261" s="29"/>
      <c r="J261" s="29"/>
      <c r="K261" s="23"/>
      <c r="L261" s="24"/>
      <c r="M261" s="28"/>
      <c r="N261" s="24"/>
      <c r="O261" s="17">
        <f>IF(OR($B261="",$L261="",$M261="Closed"),"",MAX(0,Setup!$C$5-$L261))</f>
        <v/>
      </c>
      <c r="P261" s="17">
        <f>IF($B261="","",IF($M261="Closed","CLOSED",IF($L261="","NO DUE DATE",IF(Setup!$C$5&gt;$L261,"OVERDUE",IF($L261-Setup!$C$5&lt;=7,"DUE SOON","OPEN")))))</f>
        <v/>
      </c>
      <c r="Q261" s="17">
        <f>IF($B261="","",IF($M261="Closed",0,1))</f>
        <v/>
      </c>
    </row>
    <row r="262" spans="1:17">
      <c r="A262" s="17">
        <f>IF($B262="","","F-1257")</f>
        <v/>
      </c>
      <c r="B262" s="28"/>
      <c r="C262" s="28"/>
      <c r="D262" s="8">
        <f>IF($B262="","",IFERROR(INDEX(Audit_Log!$B$6:$B$405,MATCH($B262,Audit_Log!$A$6:$A$405,0)),""))</f>
        <v/>
      </c>
      <c r="E262" s="18">
        <f>IF($B262="","",IFERROR(INDEX(Audit_Log!$C$6:$C$405,MATCH($B262,Audit_Log!$A$6:$A$405,0)),""))</f>
        <v/>
      </c>
      <c r="F262" s="17">
        <f>IF($B262="","",IFERROR(INDEX(Audit_Log!$D$6:$D$405,MATCH($B262,Audit_Log!$A$6:$A$405,0)),""))</f>
        <v/>
      </c>
      <c r="G262" s="30">
        <f>IF($C262="","",IFERROR(INDEX(Checklist!$D$6:$D$20,MATCH($C262,Checklist!$B$6:$B$20,0)),""))</f>
        <v/>
      </c>
      <c r="H262" s="29"/>
      <c r="I262" s="29"/>
      <c r="J262" s="29"/>
      <c r="K262" s="23"/>
      <c r="L262" s="24"/>
      <c r="M262" s="28"/>
      <c r="N262" s="24"/>
      <c r="O262" s="17">
        <f>IF(OR($B262="",$L262="",$M262="Closed"),"",MAX(0,Setup!$C$5-$L262))</f>
        <v/>
      </c>
      <c r="P262" s="17">
        <f>IF($B262="","",IF($M262="Closed","CLOSED",IF($L262="","NO DUE DATE",IF(Setup!$C$5&gt;$L262,"OVERDUE",IF($L262-Setup!$C$5&lt;=7,"DUE SOON","OPEN")))))</f>
        <v/>
      </c>
      <c r="Q262" s="17">
        <f>IF($B262="","",IF($M262="Closed",0,1))</f>
        <v/>
      </c>
    </row>
    <row r="263" spans="1:17">
      <c r="A263" s="17">
        <f>IF($B263="","","F-1258")</f>
        <v/>
      </c>
      <c r="B263" s="28"/>
      <c r="C263" s="28"/>
      <c r="D263" s="8">
        <f>IF($B263="","",IFERROR(INDEX(Audit_Log!$B$6:$B$405,MATCH($B263,Audit_Log!$A$6:$A$405,0)),""))</f>
        <v/>
      </c>
      <c r="E263" s="18">
        <f>IF($B263="","",IFERROR(INDEX(Audit_Log!$C$6:$C$405,MATCH($B263,Audit_Log!$A$6:$A$405,0)),""))</f>
        <v/>
      </c>
      <c r="F263" s="17">
        <f>IF($B263="","",IFERROR(INDEX(Audit_Log!$D$6:$D$405,MATCH($B263,Audit_Log!$A$6:$A$405,0)),""))</f>
        <v/>
      </c>
      <c r="G263" s="30">
        <f>IF($C263="","",IFERROR(INDEX(Checklist!$D$6:$D$20,MATCH($C263,Checklist!$B$6:$B$20,0)),""))</f>
        <v/>
      </c>
      <c r="H263" s="29"/>
      <c r="I263" s="29"/>
      <c r="J263" s="29"/>
      <c r="K263" s="23"/>
      <c r="L263" s="24"/>
      <c r="M263" s="28"/>
      <c r="N263" s="24"/>
      <c r="O263" s="17">
        <f>IF(OR($B263="",$L263="",$M263="Closed"),"",MAX(0,Setup!$C$5-$L263))</f>
        <v/>
      </c>
      <c r="P263" s="17">
        <f>IF($B263="","",IF($M263="Closed","CLOSED",IF($L263="","NO DUE DATE",IF(Setup!$C$5&gt;$L263,"OVERDUE",IF($L263-Setup!$C$5&lt;=7,"DUE SOON","OPEN")))))</f>
        <v/>
      </c>
      <c r="Q263" s="17">
        <f>IF($B263="","",IF($M263="Closed",0,1))</f>
        <v/>
      </c>
    </row>
    <row r="264" spans="1:17">
      <c r="A264" s="17">
        <f>IF($B264="","","F-1259")</f>
        <v/>
      </c>
      <c r="B264" s="28"/>
      <c r="C264" s="28"/>
      <c r="D264" s="8">
        <f>IF($B264="","",IFERROR(INDEX(Audit_Log!$B$6:$B$405,MATCH($B264,Audit_Log!$A$6:$A$405,0)),""))</f>
        <v/>
      </c>
      <c r="E264" s="18">
        <f>IF($B264="","",IFERROR(INDEX(Audit_Log!$C$6:$C$405,MATCH($B264,Audit_Log!$A$6:$A$405,0)),""))</f>
        <v/>
      </c>
      <c r="F264" s="17">
        <f>IF($B264="","",IFERROR(INDEX(Audit_Log!$D$6:$D$405,MATCH($B264,Audit_Log!$A$6:$A$405,0)),""))</f>
        <v/>
      </c>
      <c r="G264" s="30">
        <f>IF($C264="","",IFERROR(INDEX(Checklist!$D$6:$D$20,MATCH($C264,Checklist!$B$6:$B$20,0)),""))</f>
        <v/>
      </c>
      <c r="H264" s="29"/>
      <c r="I264" s="29"/>
      <c r="J264" s="29"/>
      <c r="K264" s="23"/>
      <c r="L264" s="24"/>
      <c r="M264" s="28"/>
      <c r="N264" s="24"/>
      <c r="O264" s="17">
        <f>IF(OR($B264="",$L264="",$M264="Closed"),"",MAX(0,Setup!$C$5-$L264))</f>
        <v/>
      </c>
      <c r="P264" s="17">
        <f>IF($B264="","",IF($M264="Closed","CLOSED",IF($L264="","NO DUE DATE",IF(Setup!$C$5&gt;$L264,"OVERDUE",IF($L264-Setup!$C$5&lt;=7,"DUE SOON","OPEN")))))</f>
        <v/>
      </c>
      <c r="Q264" s="17">
        <f>IF($B264="","",IF($M264="Closed",0,1))</f>
        <v/>
      </c>
    </row>
    <row r="265" spans="1:17">
      <c r="A265" s="17">
        <f>IF($B265="","","F-1260")</f>
        <v/>
      </c>
      <c r="B265" s="28"/>
      <c r="C265" s="28"/>
      <c r="D265" s="8">
        <f>IF($B265="","",IFERROR(INDEX(Audit_Log!$B$6:$B$405,MATCH($B265,Audit_Log!$A$6:$A$405,0)),""))</f>
        <v/>
      </c>
      <c r="E265" s="18">
        <f>IF($B265="","",IFERROR(INDEX(Audit_Log!$C$6:$C$405,MATCH($B265,Audit_Log!$A$6:$A$405,0)),""))</f>
        <v/>
      </c>
      <c r="F265" s="17">
        <f>IF($B265="","",IFERROR(INDEX(Audit_Log!$D$6:$D$405,MATCH($B265,Audit_Log!$A$6:$A$405,0)),""))</f>
        <v/>
      </c>
      <c r="G265" s="30">
        <f>IF($C265="","",IFERROR(INDEX(Checklist!$D$6:$D$20,MATCH($C265,Checklist!$B$6:$B$20,0)),""))</f>
        <v/>
      </c>
      <c r="H265" s="29"/>
      <c r="I265" s="29"/>
      <c r="J265" s="29"/>
      <c r="K265" s="23"/>
      <c r="L265" s="24"/>
      <c r="M265" s="28"/>
      <c r="N265" s="24"/>
      <c r="O265" s="17">
        <f>IF(OR($B265="",$L265="",$M265="Closed"),"",MAX(0,Setup!$C$5-$L265))</f>
        <v/>
      </c>
      <c r="P265" s="17">
        <f>IF($B265="","",IF($M265="Closed","CLOSED",IF($L265="","NO DUE DATE",IF(Setup!$C$5&gt;$L265,"OVERDUE",IF($L265-Setup!$C$5&lt;=7,"DUE SOON","OPEN")))))</f>
        <v/>
      </c>
      <c r="Q265" s="17">
        <f>IF($B265="","",IF($M265="Closed",0,1))</f>
        <v/>
      </c>
    </row>
    <row r="266" spans="1:17">
      <c r="A266" s="17">
        <f>IF($B266="","","F-1261")</f>
        <v/>
      </c>
      <c r="B266" s="28"/>
      <c r="C266" s="28"/>
      <c r="D266" s="8">
        <f>IF($B266="","",IFERROR(INDEX(Audit_Log!$B$6:$B$405,MATCH($B266,Audit_Log!$A$6:$A$405,0)),""))</f>
        <v/>
      </c>
      <c r="E266" s="18">
        <f>IF($B266="","",IFERROR(INDEX(Audit_Log!$C$6:$C$405,MATCH($B266,Audit_Log!$A$6:$A$405,0)),""))</f>
        <v/>
      </c>
      <c r="F266" s="17">
        <f>IF($B266="","",IFERROR(INDEX(Audit_Log!$D$6:$D$405,MATCH($B266,Audit_Log!$A$6:$A$405,0)),""))</f>
        <v/>
      </c>
      <c r="G266" s="30">
        <f>IF($C266="","",IFERROR(INDEX(Checklist!$D$6:$D$20,MATCH($C266,Checklist!$B$6:$B$20,0)),""))</f>
        <v/>
      </c>
      <c r="H266" s="29"/>
      <c r="I266" s="29"/>
      <c r="J266" s="29"/>
      <c r="K266" s="23"/>
      <c r="L266" s="24"/>
      <c r="M266" s="28"/>
      <c r="N266" s="24"/>
      <c r="O266" s="17">
        <f>IF(OR($B266="",$L266="",$M266="Closed"),"",MAX(0,Setup!$C$5-$L266))</f>
        <v/>
      </c>
      <c r="P266" s="17">
        <f>IF($B266="","",IF($M266="Closed","CLOSED",IF($L266="","NO DUE DATE",IF(Setup!$C$5&gt;$L266,"OVERDUE",IF($L266-Setup!$C$5&lt;=7,"DUE SOON","OPEN")))))</f>
        <v/>
      </c>
      <c r="Q266" s="17">
        <f>IF($B266="","",IF($M266="Closed",0,1))</f>
        <v/>
      </c>
    </row>
    <row r="267" spans="1:17">
      <c r="A267" s="17">
        <f>IF($B267="","","F-1262")</f>
        <v/>
      </c>
      <c r="B267" s="28"/>
      <c r="C267" s="28"/>
      <c r="D267" s="8">
        <f>IF($B267="","",IFERROR(INDEX(Audit_Log!$B$6:$B$405,MATCH($B267,Audit_Log!$A$6:$A$405,0)),""))</f>
        <v/>
      </c>
      <c r="E267" s="18">
        <f>IF($B267="","",IFERROR(INDEX(Audit_Log!$C$6:$C$405,MATCH($B267,Audit_Log!$A$6:$A$405,0)),""))</f>
        <v/>
      </c>
      <c r="F267" s="17">
        <f>IF($B267="","",IFERROR(INDEX(Audit_Log!$D$6:$D$405,MATCH($B267,Audit_Log!$A$6:$A$405,0)),""))</f>
        <v/>
      </c>
      <c r="G267" s="30">
        <f>IF($C267="","",IFERROR(INDEX(Checklist!$D$6:$D$20,MATCH($C267,Checklist!$B$6:$B$20,0)),""))</f>
        <v/>
      </c>
      <c r="H267" s="29"/>
      <c r="I267" s="29"/>
      <c r="J267" s="29"/>
      <c r="K267" s="23"/>
      <c r="L267" s="24"/>
      <c r="M267" s="28"/>
      <c r="N267" s="24"/>
      <c r="O267" s="17">
        <f>IF(OR($B267="",$L267="",$M267="Closed"),"",MAX(0,Setup!$C$5-$L267))</f>
        <v/>
      </c>
      <c r="P267" s="17">
        <f>IF($B267="","",IF($M267="Closed","CLOSED",IF($L267="","NO DUE DATE",IF(Setup!$C$5&gt;$L267,"OVERDUE",IF($L267-Setup!$C$5&lt;=7,"DUE SOON","OPEN")))))</f>
        <v/>
      </c>
      <c r="Q267" s="17">
        <f>IF($B267="","",IF($M267="Closed",0,1))</f>
        <v/>
      </c>
    </row>
    <row r="268" spans="1:17">
      <c r="A268" s="17">
        <f>IF($B268="","","F-1263")</f>
        <v/>
      </c>
      <c r="B268" s="28"/>
      <c r="C268" s="28"/>
      <c r="D268" s="8">
        <f>IF($B268="","",IFERROR(INDEX(Audit_Log!$B$6:$B$405,MATCH($B268,Audit_Log!$A$6:$A$405,0)),""))</f>
        <v/>
      </c>
      <c r="E268" s="18">
        <f>IF($B268="","",IFERROR(INDEX(Audit_Log!$C$6:$C$405,MATCH($B268,Audit_Log!$A$6:$A$405,0)),""))</f>
        <v/>
      </c>
      <c r="F268" s="17">
        <f>IF($B268="","",IFERROR(INDEX(Audit_Log!$D$6:$D$405,MATCH($B268,Audit_Log!$A$6:$A$405,0)),""))</f>
        <v/>
      </c>
      <c r="G268" s="30">
        <f>IF($C268="","",IFERROR(INDEX(Checklist!$D$6:$D$20,MATCH($C268,Checklist!$B$6:$B$20,0)),""))</f>
        <v/>
      </c>
      <c r="H268" s="29"/>
      <c r="I268" s="29"/>
      <c r="J268" s="29"/>
      <c r="K268" s="23"/>
      <c r="L268" s="24"/>
      <c r="M268" s="28"/>
      <c r="N268" s="24"/>
      <c r="O268" s="17">
        <f>IF(OR($B268="",$L268="",$M268="Closed"),"",MAX(0,Setup!$C$5-$L268))</f>
        <v/>
      </c>
      <c r="P268" s="17">
        <f>IF($B268="","",IF($M268="Closed","CLOSED",IF($L268="","NO DUE DATE",IF(Setup!$C$5&gt;$L268,"OVERDUE",IF($L268-Setup!$C$5&lt;=7,"DUE SOON","OPEN")))))</f>
        <v/>
      </c>
      <c r="Q268" s="17">
        <f>IF($B268="","",IF($M268="Closed",0,1))</f>
        <v/>
      </c>
    </row>
    <row r="269" spans="1:17">
      <c r="A269" s="17">
        <f>IF($B269="","","F-1264")</f>
        <v/>
      </c>
      <c r="B269" s="28"/>
      <c r="C269" s="28"/>
      <c r="D269" s="8">
        <f>IF($B269="","",IFERROR(INDEX(Audit_Log!$B$6:$B$405,MATCH($B269,Audit_Log!$A$6:$A$405,0)),""))</f>
        <v/>
      </c>
      <c r="E269" s="18">
        <f>IF($B269="","",IFERROR(INDEX(Audit_Log!$C$6:$C$405,MATCH($B269,Audit_Log!$A$6:$A$405,0)),""))</f>
        <v/>
      </c>
      <c r="F269" s="17">
        <f>IF($B269="","",IFERROR(INDEX(Audit_Log!$D$6:$D$405,MATCH($B269,Audit_Log!$A$6:$A$405,0)),""))</f>
        <v/>
      </c>
      <c r="G269" s="30">
        <f>IF($C269="","",IFERROR(INDEX(Checklist!$D$6:$D$20,MATCH($C269,Checklist!$B$6:$B$20,0)),""))</f>
        <v/>
      </c>
      <c r="H269" s="29"/>
      <c r="I269" s="29"/>
      <c r="J269" s="29"/>
      <c r="K269" s="23"/>
      <c r="L269" s="24"/>
      <c r="M269" s="28"/>
      <c r="N269" s="24"/>
      <c r="O269" s="17">
        <f>IF(OR($B269="",$L269="",$M269="Closed"),"",MAX(0,Setup!$C$5-$L269))</f>
        <v/>
      </c>
      <c r="P269" s="17">
        <f>IF($B269="","",IF($M269="Closed","CLOSED",IF($L269="","NO DUE DATE",IF(Setup!$C$5&gt;$L269,"OVERDUE",IF($L269-Setup!$C$5&lt;=7,"DUE SOON","OPEN")))))</f>
        <v/>
      </c>
      <c r="Q269" s="17">
        <f>IF($B269="","",IF($M269="Closed",0,1))</f>
        <v/>
      </c>
    </row>
    <row r="270" spans="1:17">
      <c r="A270" s="17">
        <f>IF($B270="","","F-1265")</f>
        <v/>
      </c>
      <c r="B270" s="28"/>
      <c r="C270" s="28"/>
      <c r="D270" s="8">
        <f>IF($B270="","",IFERROR(INDEX(Audit_Log!$B$6:$B$405,MATCH($B270,Audit_Log!$A$6:$A$405,0)),""))</f>
        <v/>
      </c>
      <c r="E270" s="18">
        <f>IF($B270="","",IFERROR(INDEX(Audit_Log!$C$6:$C$405,MATCH($B270,Audit_Log!$A$6:$A$405,0)),""))</f>
        <v/>
      </c>
      <c r="F270" s="17">
        <f>IF($B270="","",IFERROR(INDEX(Audit_Log!$D$6:$D$405,MATCH($B270,Audit_Log!$A$6:$A$405,0)),""))</f>
        <v/>
      </c>
      <c r="G270" s="30">
        <f>IF($C270="","",IFERROR(INDEX(Checklist!$D$6:$D$20,MATCH($C270,Checklist!$B$6:$B$20,0)),""))</f>
        <v/>
      </c>
      <c r="H270" s="29"/>
      <c r="I270" s="29"/>
      <c r="J270" s="29"/>
      <c r="K270" s="23"/>
      <c r="L270" s="24"/>
      <c r="M270" s="28"/>
      <c r="N270" s="24"/>
      <c r="O270" s="17">
        <f>IF(OR($B270="",$L270="",$M270="Closed"),"",MAX(0,Setup!$C$5-$L270))</f>
        <v/>
      </c>
      <c r="P270" s="17">
        <f>IF($B270="","",IF($M270="Closed","CLOSED",IF($L270="","NO DUE DATE",IF(Setup!$C$5&gt;$L270,"OVERDUE",IF($L270-Setup!$C$5&lt;=7,"DUE SOON","OPEN")))))</f>
        <v/>
      </c>
      <c r="Q270" s="17">
        <f>IF($B270="","",IF($M270="Closed",0,1))</f>
        <v/>
      </c>
    </row>
    <row r="271" spans="1:17">
      <c r="A271" s="17">
        <f>IF($B271="","","F-1266")</f>
        <v/>
      </c>
      <c r="B271" s="28"/>
      <c r="C271" s="28"/>
      <c r="D271" s="8">
        <f>IF($B271="","",IFERROR(INDEX(Audit_Log!$B$6:$B$405,MATCH($B271,Audit_Log!$A$6:$A$405,0)),""))</f>
        <v/>
      </c>
      <c r="E271" s="18">
        <f>IF($B271="","",IFERROR(INDEX(Audit_Log!$C$6:$C$405,MATCH($B271,Audit_Log!$A$6:$A$405,0)),""))</f>
        <v/>
      </c>
      <c r="F271" s="17">
        <f>IF($B271="","",IFERROR(INDEX(Audit_Log!$D$6:$D$405,MATCH($B271,Audit_Log!$A$6:$A$405,0)),""))</f>
        <v/>
      </c>
      <c r="G271" s="30">
        <f>IF($C271="","",IFERROR(INDEX(Checklist!$D$6:$D$20,MATCH($C271,Checklist!$B$6:$B$20,0)),""))</f>
        <v/>
      </c>
      <c r="H271" s="29"/>
      <c r="I271" s="29"/>
      <c r="J271" s="29"/>
      <c r="K271" s="23"/>
      <c r="L271" s="24"/>
      <c r="M271" s="28"/>
      <c r="N271" s="24"/>
      <c r="O271" s="17">
        <f>IF(OR($B271="",$L271="",$M271="Closed"),"",MAX(0,Setup!$C$5-$L271))</f>
        <v/>
      </c>
      <c r="P271" s="17">
        <f>IF($B271="","",IF($M271="Closed","CLOSED",IF($L271="","NO DUE DATE",IF(Setup!$C$5&gt;$L271,"OVERDUE",IF($L271-Setup!$C$5&lt;=7,"DUE SOON","OPEN")))))</f>
        <v/>
      </c>
      <c r="Q271" s="17">
        <f>IF($B271="","",IF($M271="Closed",0,1))</f>
        <v/>
      </c>
    </row>
    <row r="272" spans="1:17">
      <c r="A272" s="17">
        <f>IF($B272="","","F-1267")</f>
        <v/>
      </c>
      <c r="B272" s="28"/>
      <c r="C272" s="28"/>
      <c r="D272" s="8">
        <f>IF($B272="","",IFERROR(INDEX(Audit_Log!$B$6:$B$405,MATCH($B272,Audit_Log!$A$6:$A$405,0)),""))</f>
        <v/>
      </c>
      <c r="E272" s="18">
        <f>IF($B272="","",IFERROR(INDEX(Audit_Log!$C$6:$C$405,MATCH($B272,Audit_Log!$A$6:$A$405,0)),""))</f>
        <v/>
      </c>
      <c r="F272" s="17">
        <f>IF($B272="","",IFERROR(INDEX(Audit_Log!$D$6:$D$405,MATCH($B272,Audit_Log!$A$6:$A$405,0)),""))</f>
        <v/>
      </c>
      <c r="G272" s="30">
        <f>IF($C272="","",IFERROR(INDEX(Checklist!$D$6:$D$20,MATCH($C272,Checklist!$B$6:$B$20,0)),""))</f>
        <v/>
      </c>
      <c r="H272" s="29"/>
      <c r="I272" s="29"/>
      <c r="J272" s="29"/>
      <c r="K272" s="23"/>
      <c r="L272" s="24"/>
      <c r="M272" s="28"/>
      <c r="N272" s="24"/>
      <c r="O272" s="17">
        <f>IF(OR($B272="",$L272="",$M272="Closed"),"",MAX(0,Setup!$C$5-$L272))</f>
        <v/>
      </c>
      <c r="P272" s="17">
        <f>IF($B272="","",IF($M272="Closed","CLOSED",IF($L272="","NO DUE DATE",IF(Setup!$C$5&gt;$L272,"OVERDUE",IF($L272-Setup!$C$5&lt;=7,"DUE SOON","OPEN")))))</f>
        <v/>
      </c>
      <c r="Q272" s="17">
        <f>IF($B272="","",IF($M272="Closed",0,1))</f>
        <v/>
      </c>
    </row>
    <row r="273" spans="1:17">
      <c r="A273" s="17">
        <f>IF($B273="","","F-1268")</f>
        <v/>
      </c>
      <c r="B273" s="28"/>
      <c r="C273" s="28"/>
      <c r="D273" s="8">
        <f>IF($B273="","",IFERROR(INDEX(Audit_Log!$B$6:$B$405,MATCH($B273,Audit_Log!$A$6:$A$405,0)),""))</f>
        <v/>
      </c>
      <c r="E273" s="18">
        <f>IF($B273="","",IFERROR(INDEX(Audit_Log!$C$6:$C$405,MATCH($B273,Audit_Log!$A$6:$A$405,0)),""))</f>
        <v/>
      </c>
      <c r="F273" s="17">
        <f>IF($B273="","",IFERROR(INDEX(Audit_Log!$D$6:$D$405,MATCH($B273,Audit_Log!$A$6:$A$405,0)),""))</f>
        <v/>
      </c>
      <c r="G273" s="30">
        <f>IF($C273="","",IFERROR(INDEX(Checklist!$D$6:$D$20,MATCH($C273,Checklist!$B$6:$B$20,0)),""))</f>
        <v/>
      </c>
      <c r="H273" s="29"/>
      <c r="I273" s="29"/>
      <c r="J273" s="29"/>
      <c r="K273" s="23"/>
      <c r="L273" s="24"/>
      <c r="M273" s="28"/>
      <c r="N273" s="24"/>
      <c r="O273" s="17">
        <f>IF(OR($B273="",$L273="",$M273="Closed"),"",MAX(0,Setup!$C$5-$L273))</f>
        <v/>
      </c>
      <c r="P273" s="17">
        <f>IF($B273="","",IF($M273="Closed","CLOSED",IF($L273="","NO DUE DATE",IF(Setup!$C$5&gt;$L273,"OVERDUE",IF($L273-Setup!$C$5&lt;=7,"DUE SOON","OPEN")))))</f>
        <v/>
      </c>
      <c r="Q273" s="17">
        <f>IF($B273="","",IF($M273="Closed",0,1))</f>
        <v/>
      </c>
    </row>
    <row r="274" spans="1:17">
      <c r="A274" s="17">
        <f>IF($B274="","","F-1269")</f>
        <v/>
      </c>
      <c r="B274" s="28"/>
      <c r="C274" s="28"/>
      <c r="D274" s="8">
        <f>IF($B274="","",IFERROR(INDEX(Audit_Log!$B$6:$B$405,MATCH($B274,Audit_Log!$A$6:$A$405,0)),""))</f>
        <v/>
      </c>
      <c r="E274" s="18">
        <f>IF($B274="","",IFERROR(INDEX(Audit_Log!$C$6:$C$405,MATCH($B274,Audit_Log!$A$6:$A$405,0)),""))</f>
        <v/>
      </c>
      <c r="F274" s="17">
        <f>IF($B274="","",IFERROR(INDEX(Audit_Log!$D$6:$D$405,MATCH($B274,Audit_Log!$A$6:$A$405,0)),""))</f>
        <v/>
      </c>
      <c r="G274" s="30">
        <f>IF($C274="","",IFERROR(INDEX(Checklist!$D$6:$D$20,MATCH($C274,Checklist!$B$6:$B$20,0)),""))</f>
        <v/>
      </c>
      <c r="H274" s="29"/>
      <c r="I274" s="29"/>
      <c r="J274" s="29"/>
      <c r="K274" s="23"/>
      <c r="L274" s="24"/>
      <c r="M274" s="28"/>
      <c r="N274" s="24"/>
      <c r="O274" s="17">
        <f>IF(OR($B274="",$L274="",$M274="Closed"),"",MAX(0,Setup!$C$5-$L274))</f>
        <v/>
      </c>
      <c r="P274" s="17">
        <f>IF($B274="","",IF($M274="Closed","CLOSED",IF($L274="","NO DUE DATE",IF(Setup!$C$5&gt;$L274,"OVERDUE",IF($L274-Setup!$C$5&lt;=7,"DUE SOON","OPEN")))))</f>
        <v/>
      </c>
      <c r="Q274" s="17">
        <f>IF($B274="","",IF($M274="Closed",0,1))</f>
        <v/>
      </c>
    </row>
    <row r="275" spans="1:17">
      <c r="A275" s="17">
        <f>IF($B275="","","F-1270")</f>
        <v/>
      </c>
      <c r="B275" s="28"/>
      <c r="C275" s="28"/>
      <c r="D275" s="8">
        <f>IF($B275="","",IFERROR(INDEX(Audit_Log!$B$6:$B$405,MATCH($B275,Audit_Log!$A$6:$A$405,0)),""))</f>
        <v/>
      </c>
      <c r="E275" s="18">
        <f>IF($B275="","",IFERROR(INDEX(Audit_Log!$C$6:$C$405,MATCH($B275,Audit_Log!$A$6:$A$405,0)),""))</f>
        <v/>
      </c>
      <c r="F275" s="17">
        <f>IF($B275="","",IFERROR(INDEX(Audit_Log!$D$6:$D$405,MATCH($B275,Audit_Log!$A$6:$A$405,0)),""))</f>
        <v/>
      </c>
      <c r="G275" s="30">
        <f>IF($C275="","",IFERROR(INDEX(Checklist!$D$6:$D$20,MATCH($C275,Checklist!$B$6:$B$20,0)),""))</f>
        <v/>
      </c>
      <c r="H275" s="29"/>
      <c r="I275" s="29"/>
      <c r="J275" s="29"/>
      <c r="K275" s="23"/>
      <c r="L275" s="24"/>
      <c r="M275" s="28"/>
      <c r="N275" s="24"/>
      <c r="O275" s="17">
        <f>IF(OR($B275="",$L275="",$M275="Closed"),"",MAX(0,Setup!$C$5-$L275))</f>
        <v/>
      </c>
      <c r="P275" s="17">
        <f>IF($B275="","",IF($M275="Closed","CLOSED",IF($L275="","NO DUE DATE",IF(Setup!$C$5&gt;$L275,"OVERDUE",IF($L275-Setup!$C$5&lt;=7,"DUE SOON","OPEN")))))</f>
        <v/>
      </c>
      <c r="Q275" s="17">
        <f>IF($B275="","",IF($M275="Closed",0,1))</f>
        <v/>
      </c>
    </row>
    <row r="276" spans="1:17">
      <c r="A276" s="17">
        <f>IF($B276="","","F-1271")</f>
        <v/>
      </c>
      <c r="B276" s="28"/>
      <c r="C276" s="28"/>
      <c r="D276" s="8">
        <f>IF($B276="","",IFERROR(INDEX(Audit_Log!$B$6:$B$405,MATCH($B276,Audit_Log!$A$6:$A$405,0)),""))</f>
        <v/>
      </c>
      <c r="E276" s="18">
        <f>IF($B276="","",IFERROR(INDEX(Audit_Log!$C$6:$C$405,MATCH($B276,Audit_Log!$A$6:$A$405,0)),""))</f>
        <v/>
      </c>
      <c r="F276" s="17">
        <f>IF($B276="","",IFERROR(INDEX(Audit_Log!$D$6:$D$405,MATCH($B276,Audit_Log!$A$6:$A$405,0)),""))</f>
        <v/>
      </c>
      <c r="G276" s="30">
        <f>IF($C276="","",IFERROR(INDEX(Checklist!$D$6:$D$20,MATCH($C276,Checklist!$B$6:$B$20,0)),""))</f>
        <v/>
      </c>
      <c r="H276" s="29"/>
      <c r="I276" s="29"/>
      <c r="J276" s="29"/>
      <c r="K276" s="23"/>
      <c r="L276" s="24"/>
      <c r="M276" s="28"/>
      <c r="N276" s="24"/>
      <c r="O276" s="17">
        <f>IF(OR($B276="",$L276="",$M276="Closed"),"",MAX(0,Setup!$C$5-$L276))</f>
        <v/>
      </c>
      <c r="P276" s="17">
        <f>IF($B276="","",IF($M276="Closed","CLOSED",IF($L276="","NO DUE DATE",IF(Setup!$C$5&gt;$L276,"OVERDUE",IF($L276-Setup!$C$5&lt;=7,"DUE SOON","OPEN")))))</f>
        <v/>
      </c>
      <c r="Q276" s="17">
        <f>IF($B276="","",IF($M276="Closed",0,1))</f>
        <v/>
      </c>
    </row>
    <row r="277" spans="1:17">
      <c r="A277" s="17">
        <f>IF($B277="","","F-1272")</f>
        <v/>
      </c>
      <c r="B277" s="28"/>
      <c r="C277" s="28"/>
      <c r="D277" s="8">
        <f>IF($B277="","",IFERROR(INDEX(Audit_Log!$B$6:$B$405,MATCH($B277,Audit_Log!$A$6:$A$405,0)),""))</f>
        <v/>
      </c>
      <c r="E277" s="18">
        <f>IF($B277="","",IFERROR(INDEX(Audit_Log!$C$6:$C$405,MATCH($B277,Audit_Log!$A$6:$A$405,0)),""))</f>
        <v/>
      </c>
      <c r="F277" s="17">
        <f>IF($B277="","",IFERROR(INDEX(Audit_Log!$D$6:$D$405,MATCH($B277,Audit_Log!$A$6:$A$405,0)),""))</f>
        <v/>
      </c>
      <c r="G277" s="30">
        <f>IF($C277="","",IFERROR(INDEX(Checklist!$D$6:$D$20,MATCH($C277,Checklist!$B$6:$B$20,0)),""))</f>
        <v/>
      </c>
      <c r="H277" s="29"/>
      <c r="I277" s="29"/>
      <c r="J277" s="29"/>
      <c r="K277" s="23"/>
      <c r="L277" s="24"/>
      <c r="M277" s="28"/>
      <c r="N277" s="24"/>
      <c r="O277" s="17">
        <f>IF(OR($B277="",$L277="",$M277="Closed"),"",MAX(0,Setup!$C$5-$L277))</f>
        <v/>
      </c>
      <c r="P277" s="17">
        <f>IF($B277="","",IF($M277="Closed","CLOSED",IF($L277="","NO DUE DATE",IF(Setup!$C$5&gt;$L277,"OVERDUE",IF($L277-Setup!$C$5&lt;=7,"DUE SOON","OPEN")))))</f>
        <v/>
      </c>
      <c r="Q277" s="17">
        <f>IF($B277="","",IF($M277="Closed",0,1))</f>
        <v/>
      </c>
    </row>
    <row r="278" spans="1:17">
      <c r="A278" s="17">
        <f>IF($B278="","","F-1273")</f>
        <v/>
      </c>
      <c r="B278" s="28"/>
      <c r="C278" s="28"/>
      <c r="D278" s="8">
        <f>IF($B278="","",IFERROR(INDEX(Audit_Log!$B$6:$B$405,MATCH($B278,Audit_Log!$A$6:$A$405,0)),""))</f>
        <v/>
      </c>
      <c r="E278" s="18">
        <f>IF($B278="","",IFERROR(INDEX(Audit_Log!$C$6:$C$405,MATCH($B278,Audit_Log!$A$6:$A$405,0)),""))</f>
        <v/>
      </c>
      <c r="F278" s="17">
        <f>IF($B278="","",IFERROR(INDEX(Audit_Log!$D$6:$D$405,MATCH($B278,Audit_Log!$A$6:$A$405,0)),""))</f>
        <v/>
      </c>
      <c r="G278" s="30">
        <f>IF($C278="","",IFERROR(INDEX(Checklist!$D$6:$D$20,MATCH($C278,Checklist!$B$6:$B$20,0)),""))</f>
        <v/>
      </c>
      <c r="H278" s="29"/>
      <c r="I278" s="29"/>
      <c r="J278" s="29"/>
      <c r="K278" s="23"/>
      <c r="L278" s="24"/>
      <c r="M278" s="28"/>
      <c r="N278" s="24"/>
      <c r="O278" s="17">
        <f>IF(OR($B278="",$L278="",$M278="Closed"),"",MAX(0,Setup!$C$5-$L278))</f>
        <v/>
      </c>
      <c r="P278" s="17">
        <f>IF($B278="","",IF($M278="Closed","CLOSED",IF($L278="","NO DUE DATE",IF(Setup!$C$5&gt;$L278,"OVERDUE",IF($L278-Setup!$C$5&lt;=7,"DUE SOON","OPEN")))))</f>
        <v/>
      </c>
      <c r="Q278" s="17">
        <f>IF($B278="","",IF($M278="Closed",0,1))</f>
        <v/>
      </c>
    </row>
    <row r="279" spans="1:17">
      <c r="A279" s="17">
        <f>IF($B279="","","F-1274")</f>
        <v/>
      </c>
      <c r="B279" s="28"/>
      <c r="C279" s="28"/>
      <c r="D279" s="8">
        <f>IF($B279="","",IFERROR(INDEX(Audit_Log!$B$6:$B$405,MATCH($B279,Audit_Log!$A$6:$A$405,0)),""))</f>
        <v/>
      </c>
      <c r="E279" s="18">
        <f>IF($B279="","",IFERROR(INDEX(Audit_Log!$C$6:$C$405,MATCH($B279,Audit_Log!$A$6:$A$405,0)),""))</f>
        <v/>
      </c>
      <c r="F279" s="17">
        <f>IF($B279="","",IFERROR(INDEX(Audit_Log!$D$6:$D$405,MATCH($B279,Audit_Log!$A$6:$A$405,0)),""))</f>
        <v/>
      </c>
      <c r="G279" s="30">
        <f>IF($C279="","",IFERROR(INDEX(Checklist!$D$6:$D$20,MATCH($C279,Checklist!$B$6:$B$20,0)),""))</f>
        <v/>
      </c>
      <c r="H279" s="29"/>
      <c r="I279" s="29"/>
      <c r="J279" s="29"/>
      <c r="K279" s="23"/>
      <c r="L279" s="24"/>
      <c r="M279" s="28"/>
      <c r="N279" s="24"/>
      <c r="O279" s="17">
        <f>IF(OR($B279="",$L279="",$M279="Closed"),"",MAX(0,Setup!$C$5-$L279))</f>
        <v/>
      </c>
      <c r="P279" s="17">
        <f>IF($B279="","",IF($M279="Closed","CLOSED",IF($L279="","NO DUE DATE",IF(Setup!$C$5&gt;$L279,"OVERDUE",IF($L279-Setup!$C$5&lt;=7,"DUE SOON","OPEN")))))</f>
        <v/>
      </c>
      <c r="Q279" s="17">
        <f>IF($B279="","",IF($M279="Closed",0,1))</f>
        <v/>
      </c>
    </row>
    <row r="280" spans="1:17">
      <c r="A280" s="17">
        <f>IF($B280="","","F-1275")</f>
        <v/>
      </c>
      <c r="B280" s="28"/>
      <c r="C280" s="28"/>
      <c r="D280" s="8">
        <f>IF($B280="","",IFERROR(INDEX(Audit_Log!$B$6:$B$405,MATCH($B280,Audit_Log!$A$6:$A$405,0)),""))</f>
        <v/>
      </c>
      <c r="E280" s="18">
        <f>IF($B280="","",IFERROR(INDEX(Audit_Log!$C$6:$C$405,MATCH($B280,Audit_Log!$A$6:$A$405,0)),""))</f>
        <v/>
      </c>
      <c r="F280" s="17">
        <f>IF($B280="","",IFERROR(INDEX(Audit_Log!$D$6:$D$405,MATCH($B280,Audit_Log!$A$6:$A$405,0)),""))</f>
        <v/>
      </c>
      <c r="G280" s="30">
        <f>IF($C280="","",IFERROR(INDEX(Checklist!$D$6:$D$20,MATCH($C280,Checklist!$B$6:$B$20,0)),""))</f>
        <v/>
      </c>
      <c r="H280" s="29"/>
      <c r="I280" s="29"/>
      <c r="J280" s="29"/>
      <c r="K280" s="23"/>
      <c r="L280" s="24"/>
      <c r="M280" s="28"/>
      <c r="N280" s="24"/>
      <c r="O280" s="17">
        <f>IF(OR($B280="",$L280="",$M280="Closed"),"",MAX(0,Setup!$C$5-$L280))</f>
        <v/>
      </c>
      <c r="P280" s="17">
        <f>IF($B280="","",IF($M280="Closed","CLOSED",IF($L280="","NO DUE DATE",IF(Setup!$C$5&gt;$L280,"OVERDUE",IF($L280-Setup!$C$5&lt;=7,"DUE SOON","OPEN")))))</f>
        <v/>
      </c>
      <c r="Q280" s="17">
        <f>IF($B280="","",IF($M280="Closed",0,1))</f>
        <v/>
      </c>
    </row>
    <row r="281" spans="1:17">
      <c r="A281" s="17">
        <f>IF($B281="","","F-1276")</f>
        <v/>
      </c>
      <c r="B281" s="28"/>
      <c r="C281" s="28"/>
      <c r="D281" s="8">
        <f>IF($B281="","",IFERROR(INDEX(Audit_Log!$B$6:$B$405,MATCH($B281,Audit_Log!$A$6:$A$405,0)),""))</f>
        <v/>
      </c>
      <c r="E281" s="18">
        <f>IF($B281="","",IFERROR(INDEX(Audit_Log!$C$6:$C$405,MATCH($B281,Audit_Log!$A$6:$A$405,0)),""))</f>
        <v/>
      </c>
      <c r="F281" s="17">
        <f>IF($B281="","",IFERROR(INDEX(Audit_Log!$D$6:$D$405,MATCH($B281,Audit_Log!$A$6:$A$405,0)),""))</f>
        <v/>
      </c>
      <c r="G281" s="30">
        <f>IF($C281="","",IFERROR(INDEX(Checklist!$D$6:$D$20,MATCH($C281,Checklist!$B$6:$B$20,0)),""))</f>
        <v/>
      </c>
      <c r="H281" s="29"/>
      <c r="I281" s="29"/>
      <c r="J281" s="29"/>
      <c r="K281" s="23"/>
      <c r="L281" s="24"/>
      <c r="M281" s="28"/>
      <c r="N281" s="24"/>
      <c r="O281" s="17">
        <f>IF(OR($B281="",$L281="",$M281="Closed"),"",MAX(0,Setup!$C$5-$L281))</f>
        <v/>
      </c>
      <c r="P281" s="17">
        <f>IF($B281="","",IF($M281="Closed","CLOSED",IF($L281="","NO DUE DATE",IF(Setup!$C$5&gt;$L281,"OVERDUE",IF($L281-Setup!$C$5&lt;=7,"DUE SOON","OPEN")))))</f>
        <v/>
      </c>
      <c r="Q281" s="17">
        <f>IF($B281="","",IF($M281="Closed",0,1))</f>
        <v/>
      </c>
    </row>
    <row r="282" spans="1:17">
      <c r="A282" s="17">
        <f>IF($B282="","","F-1277")</f>
        <v/>
      </c>
      <c r="B282" s="28"/>
      <c r="C282" s="28"/>
      <c r="D282" s="8">
        <f>IF($B282="","",IFERROR(INDEX(Audit_Log!$B$6:$B$405,MATCH($B282,Audit_Log!$A$6:$A$405,0)),""))</f>
        <v/>
      </c>
      <c r="E282" s="18">
        <f>IF($B282="","",IFERROR(INDEX(Audit_Log!$C$6:$C$405,MATCH($B282,Audit_Log!$A$6:$A$405,0)),""))</f>
        <v/>
      </c>
      <c r="F282" s="17">
        <f>IF($B282="","",IFERROR(INDEX(Audit_Log!$D$6:$D$405,MATCH($B282,Audit_Log!$A$6:$A$405,0)),""))</f>
        <v/>
      </c>
      <c r="G282" s="30">
        <f>IF($C282="","",IFERROR(INDEX(Checklist!$D$6:$D$20,MATCH($C282,Checklist!$B$6:$B$20,0)),""))</f>
        <v/>
      </c>
      <c r="H282" s="29"/>
      <c r="I282" s="29"/>
      <c r="J282" s="29"/>
      <c r="K282" s="23"/>
      <c r="L282" s="24"/>
      <c r="M282" s="28"/>
      <c r="N282" s="24"/>
      <c r="O282" s="17">
        <f>IF(OR($B282="",$L282="",$M282="Closed"),"",MAX(0,Setup!$C$5-$L282))</f>
        <v/>
      </c>
      <c r="P282" s="17">
        <f>IF($B282="","",IF($M282="Closed","CLOSED",IF($L282="","NO DUE DATE",IF(Setup!$C$5&gt;$L282,"OVERDUE",IF($L282-Setup!$C$5&lt;=7,"DUE SOON","OPEN")))))</f>
        <v/>
      </c>
      <c r="Q282" s="17">
        <f>IF($B282="","",IF($M282="Closed",0,1))</f>
        <v/>
      </c>
    </row>
    <row r="283" spans="1:17">
      <c r="A283" s="17">
        <f>IF($B283="","","F-1278")</f>
        <v/>
      </c>
      <c r="B283" s="28"/>
      <c r="C283" s="28"/>
      <c r="D283" s="8">
        <f>IF($B283="","",IFERROR(INDEX(Audit_Log!$B$6:$B$405,MATCH($B283,Audit_Log!$A$6:$A$405,0)),""))</f>
        <v/>
      </c>
      <c r="E283" s="18">
        <f>IF($B283="","",IFERROR(INDEX(Audit_Log!$C$6:$C$405,MATCH($B283,Audit_Log!$A$6:$A$405,0)),""))</f>
        <v/>
      </c>
      <c r="F283" s="17">
        <f>IF($B283="","",IFERROR(INDEX(Audit_Log!$D$6:$D$405,MATCH($B283,Audit_Log!$A$6:$A$405,0)),""))</f>
        <v/>
      </c>
      <c r="G283" s="30">
        <f>IF($C283="","",IFERROR(INDEX(Checklist!$D$6:$D$20,MATCH($C283,Checklist!$B$6:$B$20,0)),""))</f>
        <v/>
      </c>
      <c r="H283" s="29"/>
      <c r="I283" s="29"/>
      <c r="J283" s="29"/>
      <c r="K283" s="23"/>
      <c r="L283" s="24"/>
      <c r="M283" s="28"/>
      <c r="N283" s="24"/>
      <c r="O283" s="17">
        <f>IF(OR($B283="",$L283="",$M283="Closed"),"",MAX(0,Setup!$C$5-$L283))</f>
        <v/>
      </c>
      <c r="P283" s="17">
        <f>IF($B283="","",IF($M283="Closed","CLOSED",IF($L283="","NO DUE DATE",IF(Setup!$C$5&gt;$L283,"OVERDUE",IF($L283-Setup!$C$5&lt;=7,"DUE SOON","OPEN")))))</f>
        <v/>
      </c>
      <c r="Q283" s="17">
        <f>IF($B283="","",IF($M283="Closed",0,1))</f>
        <v/>
      </c>
    </row>
    <row r="284" spans="1:17">
      <c r="A284" s="17">
        <f>IF($B284="","","F-1279")</f>
        <v/>
      </c>
      <c r="B284" s="28"/>
      <c r="C284" s="28"/>
      <c r="D284" s="8">
        <f>IF($B284="","",IFERROR(INDEX(Audit_Log!$B$6:$B$405,MATCH($B284,Audit_Log!$A$6:$A$405,0)),""))</f>
        <v/>
      </c>
      <c r="E284" s="18">
        <f>IF($B284="","",IFERROR(INDEX(Audit_Log!$C$6:$C$405,MATCH($B284,Audit_Log!$A$6:$A$405,0)),""))</f>
        <v/>
      </c>
      <c r="F284" s="17">
        <f>IF($B284="","",IFERROR(INDEX(Audit_Log!$D$6:$D$405,MATCH($B284,Audit_Log!$A$6:$A$405,0)),""))</f>
        <v/>
      </c>
      <c r="G284" s="30">
        <f>IF($C284="","",IFERROR(INDEX(Checklist!$D$6:$D$20,MATCH($C284,Checklist!$B$6:$B$20,0)),""))</f>
        <v/>
      </c>
      <c r="H284" s="29"/>
      <c r="I284" s="29"/>
      <c r="J284" s="29"/>
      <c r="K284" s="23"/>
      <c r="L284" s="24"/>
      <c r="M284" s="28"/>
      <c r="N284" s="24"/>
      <c r="O284" s="17">
        <f>IF(OR($B284="",$L284="",$M284="Closed"),"",MAX(0,Setup!$C$5-$L284))</f>
        <v/>
      </c>
      <c r="P284" s="17">
        <f>IF($B284="","",IF($M284="Closed","CLOSED",IF($L284="","NO DUE DATE",IF(Setup!$C$5&gt;$L284,"OVERDUE",IF($L284-Setup!$C$5&lt;=7,"DUE SOON","OPEN")))))</f>
        <v/>
      </c>
      <c r="Q284" s="17">
        <f>IF($B284="","",IF($M284="Closed",0,1))</f>
        <v/>
      </c>
    </row>
    <row r="285" spans="1:17">
      <c r="A285" s="17">
        <f>IF($B285="","","F-1280")</f>
        <v/>
      </c>
      <c r="B285" s="28"/>
      <c r="C285" s="28"/>
      <c r="D285" s="8">
        <f>IF($B285="","",IFERROR(INDEX(Audit_Log!$B$6:$B$405,MATCH($B285,Audit_Log!$A$6:$A$405,0)),""))</f>
        <v/>
      </c>
      <c r="E285" s="18">
        <f>IF($B285="","",IFERROR(INDEX(Audit_Log!$C$6:$C$405,MATCH($B285,Audit_Log!$A$6:$A$405,0)),""))</f>
        <v/>
      </c>
      <c r="F285" s="17">
        <f>IF($B285="","",IFERROR(INDEX(Audit_Log!$D$6:$D$405,MATCH($B285,Audit_Log!$A$6:$A$405,0)),""))</f>
        <v/>
      </c>
      <c r="G285" s="30">
        <f>IF($C285="","",IFERROR(INDEX(Checklist!$D$6:$D$20,MATCH($C285,Checklist!$B$6:$B$20,0)),""))</f>
        <v/>
      </c>
      <c r="H285" s="29"/>
      <c r="I285" s="29"/>
      <c r="J285" s="29"/>
      <c r="K285" s="23"/>
      <c r="L285" s="24"/>
      <c r="M285" s="28"/>
      <c r="N285" s="24"/>
      <c r="O285" s="17">
        <f>IF(OR($B285="",$L285="",$M285="Closed"),"",MAX(0,Setup!$C$5-$L285))</f>
        <v/>
      </c>
      <c r="P285" s="17">
        <f>IF($B285="","",IF($M285="Closed","CLOSED",IF($L285="","NO DUE DATE",IF(Setup!$C$5&gt;$L285,"OVERDUE",IF($L285-Setup!$C$5&lt;=7,"DUE SOON","OPEN")))))</f>
        <v/>
      </c>
      <c r="Q285" s="17">
        <f>IF($B285="","",IF($M285="Closed",0,1))</f>
        <v/>
      </c>
    </row>
    <row r="286" spans="1:17">
      <c r="A286" s="17">
        <f>IF($B286="","","F-1281")</f>
        <v/>
      </c>
      <c r="B286" s="28"/>
      <c r="C286" s="28"/>
      <c r="D286" s="8">
        <f>IF($B286="","",IFERROR(INDEX(Audit_Log!$B$6:$B$405,MATCH($B286,Audit_Log!$A$6:$A$405,0)),""))</f>
        <v/>
      </c>
      <c r="E286" s="18">
        <f>IF($B286="","",IFERROR(INDEX(Audit_Log!$C$6:$C$405,MATCH($B286,Audit_Log!$A$6:$A$405,0)),""))</f>
        <v/>
      </c>
      <c r="F286" s="17">
        <f>IF($B286="","",IFERROR(INDEX(Audit_Log!$D$6:$D$405,MATCH($B286,Audit_Log!$A$6:$A$405,0)),""))</f>
        <v/>
      </c>
      <c r="G286" s="30">
        <f>IF($C286="","",IFERROR(INDEX(Checklist!$D$6:$D$20,MATCH($C286,Checklist!$B$6:$B$20,0)),""))</f>
        <v/>
      </c>
      <c r="H286" s="29"/>
      <c r="I286" s="29"/>
      <c r="J286" s="29"/>
      <c r="K286" s="23"/>
      <c r="L286" s="24"/>
      <c r="M286" s="28"/>
      <c r="N286" s="24"/>
      <c r="O286" s="17">
        <f>IF(OR($B286="",$L286="",$M286="Closed"),"",MAX(0,Setup!$C$5-$L286))</f>
        <v/>
      </c>
      <c r="P286" s="17">
        <f>IF($B286="","",IF($M286="Closed","CLOSED",IF($L286="","NO DUE DATE",IF(Setup!$C$5&gt;$L286,"OVERDUE",IF($L286-Setup!$C$5&lt;=7,"DUE SOON","OPEN")))))</f>
        <v/>
      </c>
      <c r="Q286" s="17">
        <f>IF($B286="","",IF($M286="Closed",0,1))</f>
        <v/>
      </c>
    </row>
    <row r="287" spans="1:17">
      <c r="A287" s="17">
        <f>IF($B287="","","F-1282")</f>
        <v/>
      </c>
      <c r="B287" s="28"/>
      <c r="C287" s="28"/>
      <c r="D287" s="8">
        <f>IF($B287="","",IFERROR(INDEX(Audit_Log!$B$6:$B$405,MATCH($B287,Audit_Log!$A$6:$A$405,0)),""))</f>
        <v/>
      </c>
      <c r="E287" s="18">
        <f>IF($B287="","",IFERROR(INDEX(Audit_Log!$C$6:$C$405,MATCH($B287,Audit_Log!$A$6:$A$405,0)),""))</f>
        <v/>
      </c>
      <c r="F287" s="17">
        <f>IF($B287="","",IFERROR(INDEX(Audit_Log!$D$6:$D$405,MATCH($B287,Audit_Log!$A$6:$A$405,0)),""))</f>
        <v/>
      </c>
      <c r="G287" s="30">
        <f>IF($C287="","",IFERROR(INDEX(Checklist!$D$6:$D$20,MATCH($C287,Checklist!$B$6:$B$20,0)),""))</f>
        <v/>
      </c>
      <c r="H287" s="29"/>
      <c r="I287" s="29"/>
      <c r="J287" s="29"/>
      <c r="K287" s="23"/>
      <c r="L287" s="24"/>
      <c r="M287" s="28"/>
      <c r="N287" s="24"/>
      <c r="O287" s="17">
        <f>IF(OR($B287="",$L287="",$M287="Closed"),"",MAX(0,Setup!$C$5-$L287))</f>
        <v/>
      </c>
      <c r="P287" s="17">
        <f>IF($B287="","",IF($M287="Closed","CLOSED",IF($L287="","NO DUE DATE",IF(Setup!$C$5&gt;$L287,"OVERDUE",IF($L287-Setup!$C$5&lt;=7,"DUE SOON","OPEN")))))</f>
        <v/>
      </c>
      <c r="Q287" s="17">
        <f>IF($B287="","",IF($M287="Closed",0,1))</f>
        <v/>
      </c>
    </row>
    <row r="288" spans="1:17">
      <c r="A288" s="17">
        <f>IF($B288="","","F-1283")</f>
        <v/>
      </c>
      <c r="B288" s="28"/>
      <c r="C288" s="28"/>
      <c r="D288" s="8">
        <f>IF($B288="","",IFERROR(INDEX(Audit_Log!$B$6:$B$405,MATCH($B288,Audit_Log!$A$6:$A$405,0)),""))</f>
        <v/>
      </c>
      <c r="E288" s="18">
        <f>IF($B288="","",IFERROR(INDEX(Audit_Log!$C$6:$C$405,MATCH($B288,Audit_Log!$A$6:$A$405,0)),""))</f>
        <v/>
      </c>
      <c r="F288" s="17">
        <f>IF($B288="","",IFERROR(INDEX(Audit_Log!$D$6:$D$405,MATCH($B288,Audit_Log!$A$6:$A$405,0)),""))</f>
        <v/>
      </c>
      <c r="G288" s="30">
        <f>IF($C288="","",IFERROR(INDEX(Checklist!$D$6:$D$20,MATCH($C288,Checklist!$B$6:$B$20,0)),""))</f>
        <v/>
      </c>
      <c r="H288" s="29"/>
      <c r="I288" s="29"/>
      <c r="J288" s="29"/>
      <c r="K288" s="23"/>
      <c r="L288" s="24"/>
      <c r="M288" s="28"/>
      <c r="N288" s="24"/>
      <c r="O288" s="17">
        <f>IF(OR($B288="",$L288="",$M288="Closed"),"",MAX(0,Setup!$C$5-$L288))</f>
        <v/>
      </c>
      <c r="P288" s="17">
        <f>IF($B288="","",IF($M288="Closed","CLOSED",IF($L288="","NO DUE DATE",IF(Setup!$C$5&gt;$L288,"OVERDUE",IF($L288-Setup!$C$5&lt;=7,"DUE SOON","OPEN")))))</f>
        <v/>
      </c>
      <c r="Q288" s="17">
        <f>IF($B288="","",IF($M288="Closed",0,1))</f>
        <v/>
      </c>
    </row>
    <row r="289" spans="1:17">
      <c r="A289" s="17">
        <f>IF($B289="","","F-1284")</f>
        <v/>
      </c>
      <c r="B289" s="28"/>
      <c r="C289" s="28"/>
      <c r="D289" s="8">
        <f>IF($B289="","",IFERROR(INDEX(Audit_Log!$B$6:$B$405,MATCH($B289,Audit_Log!$A$6:$A$405,0)),""))</f>
        <v/>
      </c>
      <c r="E289" s="18">
        <f>IF($B289="","",IFERROR(INDEX(Audit_Log!$C$6:$C$405,MATCH($B289,Audit_Log!$A$6:$A$405,0)),""))</f>
        <v/>
      </c>
      <c r="F289" s="17">
        <f>IF($B289="","",IFERROR(INDEX(Audit_Log!$D$6:$D$405,MATCH($B289,Audit_Log!$A$6:$A$405,0)),""))</f>
        <v/>
      </c>
      <c r="G289" s="30">
        <f>IF($C289="","",IFERROR(INDEX(Checklist!$D$6:$D$20,MATCH($C289,Checklist!$B$6:$B$20,0)),""))</f>
        <v/>
      </c>
      <c r="H289" s="29"/>
      <c r="I289" s="29"/>
      <c r="J289" s="29"/>
      <c r="K289" s="23"/>
      <c r="L289" s="24"/>
      <c r="M289" s="28"/>
      <c r="N289" s="24"/>
      <c r="O289" s="17">
        <f>IF(OR($B289="",$L289="",$M289="Closed"),"",MAX(0,Setup!$C$5-$L289))</f>
        <v/>
      </c>
      <c r="P289" s="17">
        <f>IF($B289="","",IF($M289="Closed","CLOSED",IF($L289="","NO DUE DATE",IF(Setup!$C$5&gt;$L289,"OVERDUE",IF($L289-Setup!$C$5&lt;=7,"DUE SOON","OPEN")))))</f>
        <v/>
      </c>
      <c r="Q289" s="17">
        <f>IF($B289="","",IF($M289="Closed",0,1))</f>
        <v/>
      </c>
    </row>
    <row r="290" spans="1:17">
      <c r="A290" s="17">
        <f>IF($B290="","","F-1285")</f>
        <v/>
      </c>
      <c r="B290" s="28"/>
      <c r="C290" s="28"/>
      <c r="D290" s="8">
        <f>IF($B290="","",IFERROR(INDEX(Audit_Log!$B$6:$B$405,MATCH($B290,Audit_Log!$A$6:$A$405,0)),""))</f>
        <v/>
      </c>
      <c r="E290" s="18">
        <f>IF($B290="","",IFERROR(INDEX(Audit_Log!$C$6:$C$405,MATCH($B290,Audit_Log!$A$6:$A$405,0)),""))</f>
        <v/>
      </c>
      <c r="F290" s="17">
        <f>IF($B290="","",IFERROR(INDEX(Audit_Log!$D$6:$D$405,MATCH($B290,Audit_Log!$A$6:$A$405,0)),""))</f>
        <v/>
      </c>
      <c r="G290" s="30">
        <f>IF($C290="","",IFERROR(INDEX(Checklist!$D$6:$D$20,MATCH($C290,Checklist!$B$6:$B$20,0)),""))</f>
        <v/>
      </c>
      <c r="H290" s="29"/>
      <c r="I290" s="29"/>
      <c r="J290" s="29"/>
      <c r="K290" s="23"/>
      <c r="L290" s="24"/>
      <c r="M290" s="28"/>
      <c r="N290" s="24"/>
      <c r="O290" s="17">
        <f>IF(OR($B290="",$L290="",$M290="Closed"),"",MAX(0,Setup!$C$5-$L290))</f>
        <v/>
      </c>
      <c r="P290" s="17">
        <f>IF($B290="","",IF($M290="Closed","CLOSED",IF($L290="","NO DUE DATE",IF(Setup!$C$5&gt;$L290,"OVERDUE",IF($L290-Setup!$C$5&lt;=7,"DUE SOON","OPEN")))))</f>
        <v/>
      </c>
      <c r="Q290" s="17">
        <f>IF($B290="","",IF($M290="Closed",0,1))</f>
        <v/>
      </c>
    </row>
    <row r="291" spans="1:17">
      <c r="A291" s="17">
        <f>IF($B291="","","F-1286")</f>
        <v/>
      </c>
      <c r="B291" s="28"/>
      <c r="C291" s="28"/>
      <c r="D291" s="8">
        <f>IF($B291="","",IFERROR(INDEX(Audit_Log!$B$6:$B$405,MATCH($B291,Audit_Log!$A$6:$A$405,0)),""))</f>
        <v/>
      </c>
      <c r="E291" s="18">
        <f>IF($B291="","",IFERROR(INDEX(Audit_Log!$C$6:$C$405,MATCH($B291,Audit_Log!$A$6:$A$405,0)),""))</f>
        <v/>
      </c>
      <c r="F291" s="17">
        <f>IF($B291="","",IFERROR(INDEX(Audit_Log!$D$6:$D$405,MATCH($B291,Audit_Log!$A$6:$A$405,0)),""))</f>
        <v/>
      </c>
      <c r="G291" s="30">
        <f>IF($C291="","",IFERROR(INDEX(Checklist!$D$6:$D$20,MATCH($C291,Checklist!$B$6:$B$20,0)),""))</f>
        <v/>
      </c>
      <c r="H291" s="29"/>
      <c r="I291" s="29"/>
      <c r="J291" s="29"/>
      <c r="K291" s="23"/>
      <c r="L291" s="24"/>
      <c r="M291" s="28"/>
      <c r="N291" s="24"/>
      <c r="O291" s="17">
        <f>IF(OR($B291="",$L291="",$M291="Closed"),"",MAX(0,Setup!$C$5-$L291))</f>
        <v/>
      </c>
      <c r="P291" s="17">
        <f>IF($B291="","",IF($M291="Closed","CLOSED",IF($L291="","NO DUE DATE",IF(Setup!$C$5&gt;$L291,"OVERDUE",IF($L291-Setup!$C$5&lt;=7,"DUE SOON","OPEN")))))</f>
        <v/>
      </c>
      <c r="Q291" s="17">
        <f>IF($B291="","",IF($M291="Closed",0,1))</f>
        <v/>
      </c>
    </row>
    <row r="292" spans="1:17">
      <c r="A292" s="17">
        <f>IF($B292="","","F-1287")</f>
        <v/>
      </c>
      <c r="B292" s="28"/>
      <c r="C292" s="28"/>
      <c r="D292" s="8">
        <f>IF($B292="","",IFERROR(INDEX(Audit_Log!$B$6:$B$405,MATCH($B292,Audit_Log!$A$6:$A$405,0)),""))</f>
        <v/>
      </c>
      <c r="E292" s="18">
        <f>IF($B292="","",IFERROR(INDEX(Audit_Log!$C$6:$C$405,MATCH($B292,Audit_Log!$A$6:$A$405,0)),""))</f>
        <v/>
      </c>
      <c r="F292" s="17">
        <f>IF($B292="","",IFERROR(INDEX(Audit_Log!$D$6:$D$405,MATCH($B292,Audit_Log!$A$6:$A$405,0)),""))</f>
        <v/>
      </c>
      <c r="G292" s="30">
        <f>IF($C292="","",IFERROR(INDEX(Checklist!$D$6:$D$20,MATCH($C292,Checklist!$B$6:$B$20,0)),""))</f>
        <v/>
      </c>
      <c r="H292" s="29"/>
      <c r="I292" s="29"/>
      <c r="J292" s="29"/>
      <c r="K292" s="23"/>
      <c r="L292" s="24"/>
      <c r="M292" s="28"/>
      <c r="N292" s="24"/>
      <c r="O292" s="17">
        <f>IF(OR($B292="",$L292="",$M292="Closed"),"",MAX(0,Setup!$C$5-$L292))</f>
        <v/>
      </c>
      <c r="P292" s="17">
        <f>IF($B292="","",IF($M292="Closed","CLOSED",IF($L292="","NO DUE DATE",IF(Setup!$C$5&gt;$L292,"OVERDUE",IF($L292-Setup!$C$5&lt;=7,"DUE SOON","OPEN")))))</f>
        <v/>
      </c>
      <c r="Q292" s="17">
        <f>IF($B292="","",IF($M292="Closed",0,1))</f>
        <v/>
      </c>
    </row>
    <row r="293" spans="1:17">
      <c r="A293" s="17">
        <f>IF($B293="","","F-1288")</f>
        <v/>
      </c>
      <c r="B293" s="28"/>
      <c r="C293" s="28"/>
      <c r="D293" s="8">
        <f>IF($B293="","",IFERROR(INDEX(Audit_Log!$B$6:$B$405,MATCH($B293,Audit_Log!$A$6:$A$405,0)),""))</f>
        <v/>
      </c>
      <c r="E293" s="18">
        <f>IF($B293="","",IFERROR(INDEX(Audit_Log!$C$6:$C$405,MATCH($B293,Audit_Log!$A$6:$A$405,0)),""))</f>
        <v/>
      </c>
      <c r="F293" s="17">
        <f>IF($B293="","",IFERROR(INDEX(Audit_Log!$D$6:$D$405,MATCH($B293,Audit_Log!$A$6:$A$405,0)),""))</f>
        <v/>
      </c>
      <c r="G293" s="30">
        <f>IF($C293="","",IFERROR(INDEX(Checklist!$D$6:$D$20,MATCH($C293,Checklist!$B$6:$B$20,0)),""))</f>
        <v/>
      </c>
      <c r="H293" s="29"/>
      <c r="I293" s="29"/>
      <c r="J293" s="29"/>
      <c r="K293" s="23"/>
      <c r="L293" s="24"/>
      <c r="M293" s="28"/>
      <c r="N293" s="24"/>
      <c r="O293" s="17">
        <f>IF(OR($B293="",$L293="",$M293="Closed"),"",MAX(0,Setup!$C$5-$L293))</f>
        <v/>
      </c>
      <c r="P293" s="17">
        <f>IF($B293="","",IF($M293="Closed","CLOSED",IF($L293="","NO DUE DATE",IF(Setup!$C$5&gt;$L293,"OVERDUE",IF($L293-Setup!$C$5&lt;=7,"DUE SOON","OPEN")))))</f>
        <v/>
      </c>
      <c r="Q293" s="17">
        <f>IF($B293="","",IF($M293="Closed",0,1))</f>
        <v/>
      </c>
    </row>
    <row r="294" spans="1:17">
      <c r="A294" s="17">
        <f>IF($B294="","","F-1289")</f>
        <v/>
      </c>
      <c r="B294" s="28"/>
      <c r="C294" s="28"/>
      <c r="D294" s="8">
        <f>IF($B294="","",IFERROR(INDEX(Audit_Log!$B$6:$B$405,MATCH($B294,Audit_Log!$A$6:$A$405,0)),""))</f>
        <v/>
      </c>
      <c r="E294" s="18">
        <f>IF($B294="","",IFERROR(INDEX(Audit_Log!$C$6:$C$405,MATCH($B294,Audit_Log!$A$6:$A$405,0)),""))</f>
        <v/>
      </c>
      <c r="F294" s="17">
        <f>IF($B294="","",IFERROR(INDEX(Audit_Log!$D$6:$D$405,MATCH($B294,Audit_Log!$A$6:$A$405,0)),""))</f>
        <v/>
      </c>
      <c r="G294" s="30">
        <f>IF($C294="","",IFERROR(INDEX(Checklist!$D$6:$D$20,MATCH($C294,Checklist!$B$6:$B$20,0)),""))</f>
        <v/>
      </c>
      <c r="H294" s="29"/>
      <c r="I294" s="29"/>
      <c r="J294" s="29"/>
      <c r="K294" s="23"/>
      <c r="L294" s="24"/>
      <c r="M294" s="28"/>
      <c r="N294" s="24"/>
      <c r="O294" s="17">
        <f>IF(OR($B294="",$L294="",$M294="Closed"),"",MAX(0,Setup!$C$5-$L294))</f>
        <v/>
      </c>
      <c r="P294" s="17">
        <f>IF($B294="","",IF($M294="Closed","CLOSED",IF($L294="","NO DUE DATE",IF(Setup!$C$5&gt;$L294,"OVERDUE",IF($L294-Setup!$C$5&lt;=7,"DUE SOON","OPEN")))))</f>
        <v/>
      </c>
      <c r="Q294" s="17">
        <f>IF($B294="","",IF($M294="Closed",0,1))</f>
        <v/>
      </c>
    </row>
    <row r="295" spans="1:17">
      <c r="A295" s="17">
        <f>IF($B295="","","F-1290")</f>
        <v/>
      </c>
      <c r="B295" s="28"/>
      <c r="C295" s="28"/>
      <c r="D295" s="8">
        <f>IF($B295="","",IFERROR(INDEX(Audit_Log!$B$6:$B$405,MATCH($B295,Audit_Log!$A$6:$A$405,0)),""))</f>
        <v/>
      </c>
      <c r="E295" s="18">
        <f>IF($B295="","",IFERROR(INDEX(Audit_Log!$C$6:$C$405,MATCH($B295,Audit_Log!$A$6:$A$405,0)),""))</f>
        <v/>
      </c>
      <c r="F295" s="17">
        <f>IF($B295="","",IFERROR(INDEX(Audit_Log!$D$6:$D$405,MATCH($B295,Audit_Log!$A$6:$A$405,0)),""))</f>
        <v/>
      </c>
      <c r="G295" s="30">
        <f>IF($C295="","",IFERROR(INDEX(Checklist!$D$6:$D$20,MATCH($C295,Checklist!$B$6:$B$20,0)),""))</f>
        <v/>
      </c>
      <c r="H295" s="29"/>
      <c r="I295" s="29"/>
      <c r="J295" s="29"/>
      <c r="K295" s="23"/>
      <c r="L295" s="24"/>
      <c r="M295" s="28"/>
      <c r="N295" s="24"/>
      <c r="O295" s="17">
        <f>IF(OR($B295="",$L295="",$M295="Closed"),"",MAX(0,Setup!$C$5-$L295))</f>
        <v/>
      </c>
      <c r="P295" s="17">
        <f>IF($B295="","",IF($M295="Closed","CLOSED",IF($L295="","NO DUE DATE",IF(Setup!$C$5&gt;$L295,"OVERDUE",IF($L295-Setup!$C$5&lt;=7,"DUE SOON","OPEN")))))</f>
        <v/>
      </c>
      <c r="Q295" s="17">
        <f>IF($B295="","",IF($M295="Closed",0,1))</f>
        <v/>
      </c>
    </row>
    <row r="296" spans="1:17">
      <c r="A296" s="17">
        <f>IF($B296="","","F-1291")</f>
        <v/>
      </c>
      <c r="B296" s="28"/>
      <c r="C296" s="28"/>
      <c r="D296" s="8">
        <f>IF($B296="","",IFERROR(INDEX(Audit_Log!$B$6:$B$405,MATCH($B296,Audit_Log!$A$6:$A$405,0)),""))</f>
        <v/>
      </c>
      <c r="E296" s="18">
        <f>IF($B296="","",IFERROR(INDEX(Audit_Log!$C$6:$C$405,MATCH($B296,Audit_Log!$A$6:$A$405,0)),""))</f>
        <v/>
      </c>
      <c r="F296" s="17">
        <f>IF($B296="","",IFERROR(INDEX(Audit_Log!$D$6:$D$405,MATCH($B296,Audit_Log!$A$6:$A$405,0)),""))</f>
        <v/>
      </c>
      <c r="G296" s="30">
        <f>IF($C296="","",IFERROR(INDEX(Checklist!$D$6:$D$20,MATCH($C296,Checklist!$B$6:$B$20,0)),""))</f>
        <v/>
      </c>
      <c r="H296" s="29"/>
      <c r="I296" s="29"/>
      <c r="J296" s="29"/>
      <c r="K296" s="23"/>
      <c r="L296" s="24"/>
      <c r="M296" s="28"/>
      <c r="N296" s="24"/>
      <c r="O296" s="17">
        <f>IF(OR($B296="",$L296="",$M296="Closed"),"",MAX(0,Setup!$C$5-$L296))</f>
        <v/>
      </c>
      <c r="P296" s="17">
        <f>IF($B296="","",IF($M296="Closed","CLOSED",IF($L296="","NO DUE DATE",IF(Setup!$C$5&gt;$L296,"OVERDUE",IF($L296-Setup!$C$5&lt;=7,"DUE SOON","OPEN")))))</f>
        <v/>
      </c>
      <c r="Q296" s="17">
        <f>IF($B296="","",IF($M296="Closed",0,1))</f>
        <v/>
      </c>
    </row>
    <row r="297" spans="1:17">
      <c r="A297" s="17">
        <f>IF($B297="","","F-1292")</f>
        <v/>
      </c>
      <c r="B297" s="28"/>
      <c r="C297" s="28"/>
      <c r="D297" s="8">
        <f>IF($B297="","",IFERROR(INDEX(Audit_Log!$B$6:$B$405,MATCH($B297,Audit_Log!$A$6:$A$405,0)),""))</f>
        <v/>
      </c>
      <c r="E297" s="18">
        <f>IF($B297="","",IFERROR(INDEX(Audit_Log!$C$6:$C$405,MATCH($B297,Audit_Log!$A$6:$A$405,0)),""))</f>
        <v/>
      </c>
      <c r="F297" s="17">
        <f>IF($B297="","",IFERROR(INDEX(Audit_Log!$D$6:$D$405,MATCH($B297,Audit_Log!$A$6:$A$405,0)),""))</f>
        <v/>
      </c>
      <c r="G297" s="30">
        <f>IF($C297="","",IFERROR(INDEX(Checklist!$D$6:$D$20,MATCH($C297,Checklist!$B$6:$B$20,0)),""))</f>
        <v/>
      </c>
      <c r="H297" s="29"/>
      <c r="I297" s="29"/>
      <c r="J297" s="29"/>
      <c r="K297" s="23"/>
      <c r="L297" s="24"/>
      <c r="M297" s="28"/>
      <c r="N297" s="24"/>
      <c r="O297" s="17">
        <f>IF(OR($B297="",$L297="",$M297="Closed"),"",MAX(0,Setup!$C$5-$L297))</f>
        <v/>
      </c>
      <c r="P297" s="17">
        <f>IF($B297="","",IF($M297="Closed","CLOSED",IF($L297="","NO DUE DATE",IF(Setup!$C$5&gt;$L297,"OVERDUE",IF($L297-Setup!$C$5&lt;=7,"DUE SOON","OPEN")))))</f>
        <v/>
      </c>
      <c r="Q297" s="17">
        <f>IF($B297="","",IF($M297="Closed",0,1))</f>
        <v/>
      </c>
    </row>
    <row r="298" spans="1:17">
      <c r="A298" s="17">
        <f>IF($B298="","","F-1293")</f>
        <v/>
      </c>
      <c r="B298" s="28"/>
      <c r="C298" s="28"/>
      <c r="D298" s="8">
        <f>IF($B298="","",IFERROR(INDEX(Audit_Log!$B$6:$B$405,MATCH($B298,Audit_Log!$A$6:$A$405,0)),""))</f>
        <v/>
      </c>
      <c r="E298" s="18">
        <f>IF($B298="","",IFERROR(INDEX(Audit_Log!$C$6:$C$405,MATCH($B298,Audit_Log!$A$6:$A$405,0)),""))</f>
        <v/>
      </c>
      <c r="F298" s="17">
        <f>IF($B298="","",IFERROR(INDEX(Audit_Log!$D$6:$D$405,MATCH($B298,Audit_Log!$A$6:$A$405,0)),""))</f>
        <v/>
      </c>
      <c r="G298" s="30">
        <f>IF($C298="","",IFERROR(INDEX(Checklist!$D$6:$D$20,MATCH($C298,Checklist!$B$6:$B$20,0)),""))</f>
        <v/>
      </c>
      <c r="H298" s="29"/>
      <c r="I298" s="29"/>
      <c r="J298" s="29"/>
      <c r="K298" s="23"/>
      <c r="L298" s="24"/>
      <c r="M298" s="28"/>
      <c r="N298" s="24"/>
      <c r="O298" s="17">
        <f>IF(OR($B298="",$L298="",$M298="Closed"),"",MAX(0,Setup!$C$5-$L298))</f>
        <v/>
      </c>
      <c r="P298" s="17">
        <f>IF($B298="","",IF($M298="Closed","CLOSED",IF($L298="","NO DUE DATE",IF(Setup!$C$5&gt;$L298,"OVERDUE",IF($L298-Setup!$C$5&lt;=7,"DUE SOON","OPEN")))))</f>
        <v/>
      </c>
      <c r="Q298" s="17">
        <f>IF($B298="","",IF($M298="Closed",0,1))</f>
        <v/>
      </c>
    </row>
    <row r="299" spans="1:17">
      <c r="A299" s="17">
        <f>IF($B299="","","F-1294")</f>
        <v/>
      </c>
      <c r="B299" s="28"/>
      <c r="C299" s="28"/>
      <c r="D299" s="8">
        <f>IF($B299="","",IFERROR(INDEX(Audit_Log!$B$6:$B$405,MATCH($B299,Audit_Log!$A$6:$A$405,0)),""))</f>
        <v/>
      </c>
      <c r="E299" s="18">
        <f>IF($B299="","",IFERROR(INDEX(Audit_Log!$C$6:$C$405,MATCH($B299,Audit_Log!$A$6:$A$405,0)),""))</f>
        <v/>
      </c>
      <c r="F299" s="17">
        <f>IF($B299="","",IFERROR(INDEX(Audit_Log!$D$6:$D$405,MATCH($B299,Audit_Log!$A$6:$A$405,0)),""))</f>
        <v/>
      </c>
      <c r="G299" s="30">
        <f>IF($C299="","",IFERROR(INDEX(Checklist!$D$6:$D$20,MATCH($C299,Checklist!$B$6:$B$20,0)),""))</f>
        <v/>
      </c>
      <c r="H299" s="29"/>
      <c r="I299" s="29"/>
      <c r="J299" s="29"/>
      <c r="K299" s="23"/>
      <c r="L299" s="24"/>
      <c r="M299" s="28"/>
      <c r="N299" s="24"/>
      <c r="O299" s="17">
        <f>IF(OR($B299="",$L299="",$M299="Closed"),"",MAX(0,Setup!$C$5-$L299))</f>
        <v/>
      </c>
      <c r="P299" s="17">
        <f>IF($B299="","",IF($M299="Closed","CLOSED",IF($L299="","NO DUE DATE",IF(Setup!$C$5&gt;$L299,"OVERDUE",IF($L299-Setup!$C$5&lt;=7,"DUE SOON","OPEN")))))</f>
        <v/>
      </c>
      <c r="Q299" s="17">
        <f>IF($B299="","",IF($M299="Closed",0,1))</f>
        <v/>
      </c>
    </row>
    <row r="300" spans="1:17">
      <c r="A300" s="17">
        <f>IF($B300="","","F-1295")</f>
        <v/>
      </c>
      <c r="B300" s="28"/>
      <c r="C300" s="28"/>
      <c r="D300" s="8">
        <f>IF($B300="","",IFERROR(INDEX(Audit_Log!$B$6:$B$405,MATCH($B300,Audit_Log!$A$6:$A$405,0)),""))</f>
        <v/>
      </c>
      <c r="E300" s="18">
        <f>IF($B300="","",IFERROR(INDEX(Audit_Log!$C$6:$C$405,MATCH($B300,Audit_Log!$A$6:$A$405,0)),""))</f>
        <v/>
      </c>
      <c r="F300" s="17">
        <f>IF($B300="","",IFERROR(INDEX(Audit_Log!$D$6:$D$405,MATCH($B300,Audit_Log!$A$6:$A$405,0)),""))</f>
        <v/>
      </c>
      <c r="G300" s="30">
        <f>IF($C300="","",IFERROR(INDEX(Checklist!$D$6:$D$20,MATCH($C300,Checklist!$B$6:$B$20,0)),""))</f>
        <v/>
      </c>
      <c r="H300" s="29"/>
      <c r="I300" s="29"/>
      <c r="J300" s="29"/>
      <c r="K300" s="23"/>
      <c r="L300" s="24"/>
      <c r="M300" s="28"/>
      <c r="N300" s="24"/>
      <c r="O300" s="17">
        <f>IF(OR($B300="",$L300="",$M300="Closed"),"",MAX(0,Setup!$C$5-$L300))</f>
        <v/>
      </c>
      <c r="P300" s="17">
        <f>IF($B300="","",IF($M300="Closed","CLOSED",IF($L300="","NO DUE DATE",IF(Setup!$C$5&gt;$L300,"OVERDUE",IF($L300-Setup!$C$5&lt;=7,"DUE SOON","OPEN")))))</f>
        <v/>
      </c>
      <c r="Q300" s="17">
        <f>IF($B300="","",IF($M300="Closed",0,1))</f>
        <v/>
      </c>
    </row>
    <row r="301" spans="1:17">
      <c r="A301" s="17">
        <f>IF($B301="","","F-1296")</f>
        <v/>
      </c>
      <c r="B301" s="28"/>
      <c r="C301" s="28"/>
      <c r="D301" s="8">
        <f>IF($B301="","",IFERROR(INDEX(Audit_Log!$B$6:$B$405,MATCH($B301,Audit_Log!$A$6:$A$405,0)),""))</f>
        <v/>
      </c>
      <c r="E301" s="18">
        <f>IF($B301="","",IFERROR(INDEX(Audit_Log!$C$6:$C$405,MATCH($B301,Audit_Log!$A$6:$A$405,0)),""))</f>
        <v/>
      </c>
      <c r="F301" s="17">
        <f>IF($B301="","",IFERROR(INDEX(Audit_Log!$D$6:$D$405,MATCH($B301,Audit_Log!$A$6:$A$405,0)),""))</f>
        <v/>
      </c>
      <c r="G301" s="30">
        <f>IF($C301="","",IFERROR(INDEX(Checklist!$D$6:$D$20,MATCH($C301,Checklist!$B$6:$B$20,0)),""))</f>
        <v/>
      </c>
      <c r="H301" s="29"/>
      <c r="I301" s="29"/>
      <c r="J301" s="29"/>
      <c r="K301" s="23"/>
      <c r="L301" s="24"/>
      <c r="M301" s="28"/>
      <c r="N301" s="24"/>
      <c r="O301" s="17">
        <f>IF(OR($B301="",$L301="",$M301="Closed"),"",MAX(0,Setup!$C$5-$L301))</f>
        <v/>
      </c>
      <c r="P301" s="17">
        <f>IF($B301="","",IF($M301="Closed","CLOSED",IF($L301="","NO DUE DATE",IF(Setup!$C$5&gt;$L301,"OVERDUE",IF($L301-Setup!$C$5&lt;=7,"DUE SOON","OPEN")))))</f>
        <v/>
      </c>
      <c r="Q301" s="17">
        <f>IF($B301="","",IF($M301="Closed",0,1))</f>
        <v/>
      </c>
    </row>
    <row r="302" spans="1:17">
      <c r="A302" s="17">
        <f>IF($B302="","","F-1297")</f>
        <v/>
      </c>
      <c r="B302" s="28"/>
      <c r="C302" s="28"/>
      <c r="D302" s="8">
        <f>IF($B302="","",IFERROR(INDEX(Audit_Log!$B$6:$B$405,MATCH($B302,Audit_Log!$A$6:$A$405,0)),""))</f>
        <v/>
      </c>
      <c r="E302" s="18">
        <f>IF($B302="","",IFERROR(INDEX(Audit_Log!$C$6:$C$405,MATCH($B302,Audit_Log!$A$6:$A$405,0)),""))</f>
        <v/>
      </c>
      <c r="F302" s="17">
        <f>IF($B302="","",IFERROR(INDEX(Audit_Log!$D$6:$D$405,MATCH($B302,Audit_Log!$A$6:$A$405,0)),""))</f>
        <v/>
      </c>
      <c r="G302" s="30">
        <f>IF($C302="","",IFERROR(INDEX(Checklist!$D$6:$D$20,MATCH($C302,Checklist!$B$6:$B$20,0)),""))</f>
        <v/>
      </c>
      <c r="H302" s="29"/>
      <c r="I302" s="29"/>
      <c r="J302" s="29"/>
      <c r="K302" s="23"/>
      <c r="L302" s="24"/>
      <c r="M302" s="28"/>
      <c r="N302" s="24"/>
      <c r="O302" s="17">
        <f>IF(OR($B302="",$L302="",$M302="Closed"),"",MAX(0,Setup!$C$5-$L302))</f>
        <v/>
      </c>
      <c r="P302" s="17">
        <f>IF($B302="","",IF($M302="Closed","CLOSED",IF($L302="","NO DUE DATE",IF(Setup!$C$5&gt;$L302,"OVERDUE",IF($L302-Setup!$C$5&lt;=7,"DUE SOON","OPEN")))))</f>
        <v/>
      </c>
      <c r="Q302" s="17">
        <f>IF($B302="","",IF($M302="Closed",0,1))</f>
        <v/>
      </c>
    </row>
    <row r="303" spans="1:17">
      <c r="A303" s="17">
        <f>IF($B303="","","F-1298")</f>
        <v/>
      </c>
      <c r="B303" s="28"/>
      <c r="C303" s="28"/>
      <c r="D303" s="8">
        <f>IF($B303="","",IFERROR(INDEX(Audit_Log!$B$6:$B$405,MATCH($B303,Audit_Log!$A$6:$A$405,0)),""))</f>
        <v/>
      </c>
      <c r="E303" s="18">
        <f>IF($B303="","",IFERROR(INDEX(Audit_Log!$C$6:$C$405,MATCH($B303,Audit_Log!$A$6:$A$405,0)),""))</f>
        <v/>
      </c>
      <c r="F303" s="17">
        <f>IF($B303="","",IFERROR(INDEX(Audit_Log!$D$6:$D$405,MATCH($B303,Audit_Log!$A$6:$A$405,0)),""))</f>
        <v/>
      </c>
      <c r="G303" s="30">
        <f>IF($C303="","",IFERROR(INDEX(Checklist!$D$6:$D$20,MATCH($C303,Checklist!$B$6:$B$20,0)),""))</f>
        <v/>
      </c>
      <c r="H303" s="29"/>
      <c r="I303" s="29"/>
      <c r="J303" s="29"/>
      <c r="K303" s="23"/>
      <c r="L303" s="24"/>
      <c r="M303" s="28"/>
      <c r="N303" s="24"/>
      <c r="O303" s="17">
        <f>IF(OR($B303="",$L303="",$M303="Closed"),"",MAX(0,Setup!$C$5-$L303))</f>
        <v/>
      </c>
      <c r="P303" s="17">
        <f>IF($B303="","",IF($M303="Closed","CLOSED",IF($L303="","NO DUE DATE",IF(Setup!$C$5&gt;$L303,"OVERDUE",IF($L303-Setup!$C$5&lt;=7,"DUE SOON","OPEN")))))</f>
        <v/>
      </c>
      <c r="Q303" s="17">
        <f>IF($B303="","",IF($M303="Closed",0,1))</f>
        <v/>
      </c>
    </row>
    <row r="304" spans="1:17">
      <c r="A304" s="17">
        <f>IF($B304="","","F-1299")</f>
        <v/>
      </c>
      <c r="B304" s="28"/>
      <c r="C304" s="28"/>
      <c r="D304" s="8">
        <f>IF($B304="","",IFERROR(INDEX(Audit_Log!$B$6:$B$405,MATCH($B304,Audit_Log!$A$6:$A$405,0)),""))</f>
        <v/>
      </c>
      <c r="E304" s="18">
        <f>IF($B304="","",IFERROR(INDEX(Audit_Log!$C$6:$C$405,MATCH($B304,Audit_Log!$A$6:$A$405,0)),""))</f>
        <v/>
      </c>
      <c r="F304" s="17">
        <f>IF($B304="","",IFERROR(INDEX(Audit_Log!$D$6:$D$405,MATCH($B304,Audit_Log!$A$6:$A$405,0)),""))</f>
        <v/>
      </c>
      <c r="G304" s="30">
        <f>IF($C304="","",IFERROR(INDEX(Checklist!$D$6:$D$20,MATCH($C304,Checklist!$B$6:$B$20,0)),""))</f>
        <v/>
      </c>
      <c r="H304" s="29"/>
      <c r="I304" s="29"/>
      <c r="J304" s="29"/>
      <c r="K304" s="23"/>
      <c r="L304" s="24"/>
      <c r="M304" s="28"/>
      <c r="N304" s="24"/>
      <c r="O304" s="17">
        <f>IF(OR($B304="",$L304="",$M304="Closed"),"",MAX(0,Setup!$C$5-$L304))</f>
        <v/>
      </c>
      <c r="P304" s="17">
        <f>IF($B304="","",IF($M304="Closed","CLOSED",IF($L304="","NO DUE DATE",IF(Setup!$C$5&gt;$L304,"OVERDUE",IF($L304-Setup!$C$5&lt;=7,"DUE SOON","OPEN")))))</f>
        <v/>
      </c>
      <c r="Q304" s="17">
        <f>IF($B304="","",IF($M304="Closed",0,1))</f>
        <v/>
      </c>
    </row>
    <row r="305" spans="1:17">
      <c r="A305" s="17">
        <f>IF($B305="","","F-1300")</f>
        <v/>
      </c>
      <c r="B305" s="28"/>
      <c r="C305" s="28"/>
      <c r="D305" s="8">
        <f>IF($B305="","",IFERROR(INDEX(Audit_Log!$B$6:$B$405,MATCH($B305,Audit_Log!$A$6:$A$405,0)),""))</f>
        <v/>
      </c>
      <c r="E305" s="18">
        <f>IF($B305="","",IFERROR(INDEX(Audit_Log!$C$6:$C$405,MATCH($B305,Audit_Log!$A$6:$A$405,0)),""))</f>
        <v/>
      </c>
      <c r="F305" s="17">
        <f>IF($B305="","",IFERROR(INDEX(Audit_Log!$D$6:$D$405,MATCH($B305,Audit_Log!$A$6:$A$405,0)),""))</f>
        <v/>
      </c>
      <c r="G305" s="30">
        <f>IF($C305="","",IFERROR(INDEX(Checklist!$D$6:$D$20,MATCH($C305,Checklist!$B$6:$B$20,0)),""))</f>
        <v/>
      </c>
      <c r="H305" s="29"/>
      <c r="I305" s="29"/>
      <c r="J305" s="29"/>
      <c r="K305" s="23"/>
      <c r="L305" s="24"/>
      <c r="M305" s="28"/>
      <c r="N305" s="24"/>
      <c r="O305" s="17">
        <f>IF(OR($B305="",$L305="",$M305="Closed"),"",MAX(0,Setup!$C$5-$L305))</f>
        <v/>
      </c>
      <c r="P305" s="17">
        <f>IF($B305="","",IF($M305="Closed","CLOSED",IF($L305="","NO DUE DATE",IF(Setup!$C$5&gt;$L305,"OVERDUE",IF($L305-Setup!$C$5&lt;=7,"DUE SOON","OPEN")))))</f>
        <v/>
      </c>
      <c r="Q305" s="17">
        <f>IF($B305="","",IF($M305="Closed",0,1))</f>
        <v/>
      </c>
    </row>
  </sheetData>
  <autoFilter ref="A5:Q305"/>
  <mergeCells count="2">
    <mergeCell ref="A1:Q1"/>
    <mergeCell ref="A2:Q2"/>
  </mergeCells>
  <conditionalFormatting sqref="P6:P305">
    <cfRule type="cellIs" dxfId="3" priority="1" operator="equal">
      <formula>"CLOSED"</formula>
    </cfRule>
    <cfRule type="cellIs" dxfId="0" priority="2" operator="equal">
      <formula>"OVERDUE"</formula>
    </cfRule>
    <cfRule type="cellIs" dxfId="4" priority="3" operator="equal">
      <formula>"DUE SOON"</formula>
    </cfRule>
    <cfRule type="cellIs" dxfId="4" priority="4" operator="equal">
      <formula>"NO DUE DATE"</formula>
    </cfRule>
  </conditionalFormatting>
  <dataValidations count="3">
    <dataValidation type="list" errorStyle="warning" allowBlank="1" showInputMessage="1" showErrorMessage="1" sqref="B6:B305">
      <formula1>Audit_Log!$A$6:$A$405</formula1>
    </dataValidation>
    <dataValidation type="list" allowBlank="1" showInputMessage="1" showErrorMessage="1" sqref="C6:C305">
      <formula1>Checklist!$B$6:$B$20</formula1>
    </dataValidation>
    <dataValidation type="list" allowBlank="1" showInputMessage="1" showErrorMessage="1" sqref="M6:M305">
      <formula1>Setup!$G$6:$G$8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Start_Here</vt:lpstr>
      <vt:lpstr>Dashboard</vt:lpstr>
      <vt:lpstr>Setup</vt:lpstr>
      <vt:lpstr>Checklist</vt:lpstr>
      <vt:lpstr>Audit_Log</vt:lpstr>
      <vt:lpstr>Findings</vt:lpstr>
      <vt:lpstr>Dashboard!Print_Area</vt:lpstr>
    </vt:vector>
  </TitlesOfParts>
  <Company>QM Bench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LPA Audit Template LITE</dc:title>
  <dc:creator>QM Bench</dc:creator>
  <dc:description>Free layered process audit template, qmbench.com</dc:description>
  <cp:lastModifiedBy>QM Bench</cp:lastModifiedBy>
  <dcterms:created xsi:type="dcterms:W3CDTF">2026-10-28T18:38:31Z</dcterms:created>
  <dcterms:modified xsi:type="dcterms:W3CDTF">2026-10-28T18:38:31Z</dcterms:modified>
</cp:coreProperties>
</file>